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940" tabRatio="430" activeTab="0"/>
  </bookViews>
  <sheets>
    <sheet name="Data Entry" sheetId="1" r:id="rId1"/>
    <sheet name="460V EQPIII Data" sheetId="2" r:id="rId2"/>
    <sheet name="575V EQPIII Data" sheetId="3" r:id="rId3"/>
    <sheet name="Effy Curves" sheetId="4" r:id="rId4"/>
    <sheet name="Calculations" sheetId="5" r:id="rId5"/>
  </sheets>
  <definedNames/>
  <calcPr fullCalcOnLoad="1"/>
</workbook>
</file>

<file path=xl/comments1.xml><?xml version="1.0" encoding="utf-8"?>
<comments xmlns="http://schemas.openxmlformats.org/spreadsheetml/2006/main">
  <authors>
    <author>Don Macdonald</author>
  </authors>
  <commentList>
    <comment ref="I7" authorId="0">
      <text>
        <r>
          <rPr>
            <b/>
            <sz val="8"/>
            <rFont val="Tahoma"/>
            <family val="0"/>
          </rPr>
          <t>If a different value is desired, input value (e.g. change 100% to 96%)  Note value must be &gt;90%</t>
        </r>
      </text>
    </comment>
    <comment ref="I8" authorId="0">
      <text>
        <r>
          <rPr>
            <b/>
            <sz val="8"/>
            <rFont val="Tahoma"/>
            <family val="0"/>
          </rPr>
          <t>If a different value is desired, input value (e.g. change 90% to 86%)  Note value must be &gt;90% &amp; &lt;100%</t>
        </r>
      </text>
    </comment>
    <comment ref="I9" authorId="0">
      <text>
        <r>
          <rPr>
            <b/>
            <sz val="8"/>
            <rFont val="Tahoma"/>
            <family val="0"/>
          </rPr>
          <t>If a different value is desired, input value (e.g. change 80% to 76%)  Note value must be &gt;80% &amp; &lt;90%</t>
        </r>
      </text>
    </comment>
    <comment ref="I10" authorId="0">
      <text>
        <r>
          <rPr>
            <b/>
            <sz val="8"/>
            <rFont val="Tahoma"/>
            <family val="0"/>
          </rPr>
          <t>If a different value is desired, input value (e.g. change 70% to 76%)  Note value must be &gt;70% &amp; &lt;80%</t>
        </r>
      </text>
    </comment>
    <comment ref="I11" authorId="0">
      <text>
        <r>
          <rPr>
            <b/>
            <sz val="8"/>
            <rFont val="Tahoma"/>
            <family val="0"/>
          </rPr>
          <t>If a different value is desired, input value (e.g. change 60% to 66%)  Note value must be &gt;60% &amp; &lt;70%</t>
        </r>
      </text>
    </comment>
    <comment ref="I12" authorId="0">
      <text>
        <r>
          <rPr>
            <b/>
            <sz val="8"/>
            <rFont val="Tahoma"/>
            <family val="0"/>
          </rPr>
          <t>If a different value is desired, input value (e.g. change 50% to 56%)  Note value must be &gt;50% &amp; &lt;60%</t>
        </r>
      </text>
    </comment>
    <comment ref="I13" authorId="0">
      <text>
        <r>
          <rPr>
            <b/>
            <sz val="8"/>
            <rFont val="Tahoma"/>
            <family val="0"/>
          </rPr>
          <t>If a different value is desired, input value (e.g. change 40% to 46%)  Note value must be &gt;40% &amp; &lt;50%</t>
        </r>
      </text>
    </comment>
    <comment ref="I14" authorId="0">
      <text>
        <r>
          <rPr>
            <b/>
            <sz val="8"/>
            <rFont val="Tahoma"/>
            <family val="0"/>
          </rPr>
          <t>If a different value is desired, input value (e.g. change 30% to 36%)  Note value must be &gt;30% &amp; &lt;40%</t>
        </r>
      </text>
    </comment>
    <comment ref="I15" authorId="0">
      <text>
        <r>
          <rPr>
            <b/>
            <sz val="8"/>
            <rFont val="Tahoma"/>
            <family val="0"/>
          </rPr>
          <t>If a different value is desired, input value (e.g. change 20% to 26%)  Note value must be &gt;20% &amp; &lt;30%</t>
        </r>
      </text>
    </comment>
    <comment ref="I16" authorId="0">
      <text>
        <r>
          <rPr>
            <b/>
            <sz val="8"/>
            <rFont val="Tahoma"/>
            <family val="0"/>
          </rPr>
          <t>If a different value is desired, input value (e.g. change 10% to 16%)  Note value must be &gt;10% &amp; &lt;20%</t>
        </r>
      </text>
    </comment>
    <comment ref="I17" authorId="0">
      <text>
        <r>
          <rPr>
            <b/>
            <sz val="8"/>
            <rFont val="Tahoma"/>
            <family val="0"/>
          </rPr>
          <t>If a different value is desired, input value (e.g. change 0% to 6%)  Note value must be &gt;0% &amp; &lt;10%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Input actual loading of motor at full speed.  Normally a motor is not loaded to exactly 100% of the motor's nameplate HP. 
If actual load is unknown, enter motor nameplate HP.  
</t>
        </r>
        <r>
          <rPr>
            <b/>
            <sz val="8"/>
            <color indexed="10"/>
            <rFont val="Tahoma"/>
            <family val="2"/>
          </rPr>
          <t>This must be filled in or the calculator will not work.</t>
        </r>
      </text>
    </comment>
  </commentList>
</comments>
</file>

<file path=xl/sharedStrings.xml><?xml version="1.0" encoding="utf-8"?>
<sst xmlns="http://schemas.openxmlformats.org/spreadsheetml/2006/main" count="1490" uniqueCount="216">
  <si>
    <t>Motor HP</t>
  </si>
  <si>
    <t>FL RPM</t>
  </si>
  <si>
    <t>Power Cost</t>
  </si>
  <si>
    <t>Load Profile</t>
  </si>
  <si>
    <t>Hours</t>
  </si>
  <si>
    <t>Operation</t>
  </si>
  <si>
    <t>Speed</t>
  </si>
  <si>
    <t>Operating hrs/day</t>
  </si>
  <si>
    <t>Motor Efficiencies</t>
  </si>
  <si>
    <t>FL</t>
  </si>
  <si>
    <t>1/2</t>
  </si>
  <si>
    <t>3/4</t>
  </si>
  <si>
    <t xml:space="preserve"> (cents / KWHR)</t>
  </si>
  <si>
    <t>Fixed Speed</t>
  </si>
  <si>
    <t>Inlet Guide Vane</t>
  </si>
  <si>
    <t>Outlet Damper or Valve</t>
  </si>
  <si>
    <t>ASD</t>
  </si>
  <si>
    <t>D. damper</t>
  </si>
  <si>
    <t>Inlet vane</t>
  </si>
  <si>
    <t>Flow</t>
  </si>
  <si>
    <t>Pressure</t>
  </si>
  <si>
    <t>Days per year</t>
  </si>
  <si>
    <t>Discharge</t>
  </si>
  <si>
    <t>Damper</t>
  </si>
  <si>
    <t>Inlet</t>
  </si>
  <si>
    <t>Vane</t>
  </si>
  <si>
    <t>575V TOSHIBA EQPIII MOTOR DATA</t>
  </si>
  <si>
    <t>Data subject to change without notice</t>
  </si>
  <si>
    <t>Guar.</t>
  </si>
  <si>
    <t>STALL</t>
  </si>
  <si>
    <t>Max.</t>
  </si>
  <si>
    <t xml:space="preserve">   -Note #1-</t>
  </si>
  <si>
    <t>TIME</t>
  </si>
  <si>
    <t>Std</t>
  </si>
  <si>
    <t>Temp.</t>
  </si>
  <si>
    <t>Type</t>
  </si>
  <si>
    <t>Min.</t>
  </si>
  <si>
    <t>Max</t>
  </si>
  <si>
    <t>Rated</t>
  </si>
  <si>
    <t>DE</t>
  </si>
  <si>
    <t>ODE</t>
  </si>
  <si>
    <t>Full</t>
  </si>
  <si>
    <t>3/4 Load</t>
  </si>
  <si>
    <t>Eff'y</t>
  </si>
  <si>
    <t>P.F.</t>
  </si>
  <si>
    <t>Motor</t>
  </si>
  <si>
    <t>SOUND</t>
  </si>
  <si>
    <t xml:space="preserve"> (Starts per HR)</t>
  </si>
  <si>
    <t>BTWN</t>
  </si>
  <si>
    <t>Toshiba</t>
  </si>
  <si>
    <t>NEMA</t>
  </si>
  <si>
    <t>Rotor</t>
  </si>
  <si>
    <t>Rise</t>
  </si>
  <si>
    <t>of</t>
  </si>
  <si>
    <t>Torque</t>
  </si>
  <si>
    <t>HP:</t>
  </si>
  <si>
    <t>RPM:</t>
  </si>
  <si>
    <t>Bearing</t>
  </si>
  <si>
    <t>Frame</t>
  </si>
  <si>
    <t>Load</t>
  </si>
  <si>
    <t>Idle</t>
  </si>
  <si>
    <t>FLC</t>
  </si>
  <si>
    <t>Current</t>
  </si>
  <si>
    <t>LRC</t>
  </si>
  <si>
    <t>FLT</t>
  </si>
  <si>
    <t>LRT</t>
  </si>
  <si>
    <t>BDT</t>
  </si>
  <si>
    <t>@1.0</t>
  </si>
  <si>
    <t>@0.75</t>
  </si>
  <si>
    <t>@O.5</t>
  </si>
  <si>
    <t>@ 1.0</t>
  </si>
  <si>
    <t>@.75</t>
  </si>
  <si>
    <t>@0.5</t>
  </si>
  <si>
    <t>COLD</t>
  </si>
  <si>
    <t>HOT</t>
  </si>
  <si>
    <t>Inrush</t>
  </si>
  <si>
    <t>KVAR</t>
  </si>
  <si>
    <t>LEVELS</t>
  </si>
  <si>
    <t>Watts</t>
  </si>
  <si>
    <t>Cold</t>
  </si>
  <si>
    <t>Hot</t>
  </si>
  <si>
    <t>STARTS</t>
  </si>
  <si>
    <t>WK^2</t>
  </si>
  <si>
    <t>Inertia</t>
  </si>
  <si>
    <t>Weight</t>
  </si>
  <si>
    <t>Ins.</t>
  </si>
  <si>
    <t>@1.15</t>
  </si>
  <si>
    <t>Conn.</t>
  </si>
  <si>
    <t>@FLT</t>
  </si>
  <si>
    <t>@ 10Hz</t>
  </si>
  <si>
    <t>(#)</t>
  </si>
  <si>
    <t>RPM</t>
  </si>
  <si>
    <t>(A)</t>
  </si>
  <si>
    <t>(lbft)</t>
  </si>
  <si>
    <t>(%)</t>
  </si>
  <si>
    <t>(Sec)</t>
  </si>
  <si>
    <t>Loss</t>
  </si>
  <si>
    <t>(lbft^2)</t>
  </si>
  <si>
    <t>(Lbs)</t>
  </si>
  <si>
    <t>(Cl)</t>
  </si>
  <si>
    <t>(Deg)</t>
  </si>
  <si>
    <t>(Y / D)</t>
  </si>
  <si>
    <t>(Hz)</t>
  </si>
  <si>
    <t>**</t>
  </si>
  <si>
    <t>***</t>
  </si>
  <si>
    <t>6205ZZ</t>
  </si>
  <si>
    <t>145T</t>
  </si>
  <si>
    <t>TBA</t>
  </si>
  <si>
    <t>F</t>
  </si>
  <si>
    <t>Y</t>
  </si>
  <si>
    <t>CF</t>
  </si>
  <si>
    <t>6305UUC3</t>
  </si>
  <si>
    <t>143T</t>
  </si>
  <si>
    <t>6207ZZ</t>
  </si>
  <si>
    <t>182T</t>
  </si>
  <si>
    <t>184T</t>
  </si>
  <si>
    <t>6306UUC3</t>
  </si>
  <si>
    <t>6308UU</t>
  </si>
  <si>
    <t>6208UU</t>
  </si>
  <si>
    <t>213T</t>
  </si>
  <si>
    <t>215T</t>
  </si>
  <si>
    <t>6308C3</t>
  </si>
  <si>
    <t>6309UU</t>
  </si>
  <si>
    <t>254T</t>
  </si>
  <si>
    <t>256T</t>
  </si>
  <si>
    <t>D</t>
  </si>
  <si>
    <t>6309C3</t>
  </si>
  <si>
    <t>6308ZC3</t>
  </si>
  <si>
    <t>6310C3</t>
  </si>
  <si>
    <t>6310CZZ3</t>
  </si>
  <si>
    <t>284T</t>
  </si>
  <si>
    <t>286T</t>
  </si>
  <si>
    <t>6312C3</t>
  </si>
  <si>
    <t>6312ZZC3</t>
  </si>
  <si>
    <t>324T</t>
  </si>
  <si>
    <t>326T</t>
  </si>
  <si>
    <t>284TS</t>
  </si>
  <si>
    <t>6314C3</t>
  </si>
  <si>
    <t>364T</t>
  </si>
  <si>
    <t>286TS</t>
  </si>
  <si>
    <t>365T</t>
  </si>
  <si>
    <t>324TS</t>
  </si>
  <si>
    <t>6317C3</t>
  </si>
  <si>
    <t>6313C3</t>
  </si>
  <si>
    <t>404T</t>
  </si>
  <si>
    <t>326TS</t>
  </si>
  <si>
    <t>405T</t>
  </si>
  <si>
    <t>364TS</t>
  </si>
  <si>
    <t>NU318C3</t>
  </si>
  <si>
    <t>6318C3</t>
  </si>
  <si>
    <t>444T</t>
  </si>
  <si>
    <t>365TS</t>
  </si>
  <si>
    <t>445T</t>
  </si>
  <si>
    <t>405TS</t>
  </si>
  <si>
    <t>NU322C3</t>
  </si>
  <si>
    <t>505UZ</t>
  </si>
  <si>
    <t>444TS</t>
  </si>
  <si>
    <t>447T</t>
  </si>
  <si>
    <t>445TS</t>
  </si>
  <si>
    <t>NU324C3</t>
  </si>
  <si>
    <t>6320C3</t>
  </si>
  <si>
    <t>N587UZ</t>
  </si>
  <si>
    <t>NU322</t>
  </si>
  <si>
    <t>449TZ</t>
  </si>
  <si>
    <t>447TSS</t>
  </si>
  <si>
    <t>5010UZ</t>
  </si>
  <si>
    <t>5010USS</t>
  </si>
  <si>
    <t>5010US</t>
  </si>
  <si>
    <t>n/a</t>
  </si>
  <si>
    <t>**  Safe Stall Times quoted are values which will not in any way cause damage or reduction in life to the rotor, stator or bearings.</t>
  </si>
  <si>
    <t>***  Subject to change at any time.  Please confirm with factory prior to application on constant torque loads</t>
  </si>
  <si>
    <t>**** Note - 350HP 1200RPM motor is 1.0SF</t>
  </si>
  <si>
    <t>460V TOSHIBA EQPIII-XS MOTOR DATA</t>
  </si>
  <si>
    <t>EQP3</t>
  </si>
  <si>
    <t>1/2 Load</t>
  </si>
  <si>
    <r>
      <t>WK</t>
    </r>
    <r>
      <rPr>
        <vertAlign val="superscript"/>
        <sz val="12"/>
        <rFont val="Arial"/>
        <family val="2"/>
      </rPr>
      <t>2</t>
    </r>
  </si>
  <si>
    <r>
      <t>(lbft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)</t>
    </r>
  </si>
  <si>
    <t>Note 900RPM data is Standard Efficiency Data</t>
  </si>
  <si>
    <t xml:space="preserve"> (HP)</t>
  </si>
  <si>
    <t>&gt;75%</t>
  </si>
  <si>
    <t>&lt;75%</t>
  </si>
  <si>
    <t>Motor Efficiency at Actual load</t>
  </si>
  <si>
    <t>Actual</t>
  </si>
  <si>
    <t>Fixed</t>
  </si>
  <si>
    <t>KW</t>
  </si>
  <si>
    <t>KW Hrs</t>
  </si>
  <si>
    <t>(per Day)</t>
  </si>
  <si>
    <t>(per Year)</t>
  </si>
  <si>
    <t>Operating cost</t>
  </si>
  <si>
    <t>(% Load)</t>
  </si>
  <si>
    <t>Characteristic</t>
  </si>
  <si>
    <t>Look-up Table for Various Control Types</t>
  </si>
  <si>
    <t>ASD Efficiency</t>
  </si>
  <si>
    <t>&lt;50%</t>
  </si>
  <si>
    <t>&gt;50%</t>
  </si>
  <si>
    <t>&gt;25%</t>
  </si>
  <si>
    <t>&gt;0%</t>
  </si>
  <si>
    <t>ASD Efficiency at Load</t>
  </si>
  <si>
    <t>ASD &amp; Motor</t>
  </si>
  <si>
    <t>Cost Comparison per year</t>
  </si>
  <si>
    <t>Power Consumption Cost of Fixed Speed versus Damper / Valve, Inlet Vane Guide and ASD</t>
  </si>
  <si>
    <t>Percentage</t>
  </si>
  <si>
    <t>of Flow</t>
  </si>
  <si>
    <t>ASD Cost</t>
  </si>
  <si>
    <t>Load at 100% flow</t>
  </si>
  <si>
    <t>Install Cost</t>
  </si>
  <si>
    <t>Simple Payback</t>
  </si>
  <si>
    <t>ASD vs Fixed Speed</t>
  </si>
  <si>
    <t>ASD vs Outlet damper</t>
  </si>
  <si>
    <t>ASD vs Inlet Guide Vane</t>
  </si>
  <si>
    <t>ASD vs Valve (on pump)</t>
  </si>
  <si>
    <t xml:space="preserve"> (years)</t>
  </si>
  <si>
    <t>Motor, Load and System Info</t>
  </si>
  <si>
    <t>Note - Eddy Current Coupling efficiency profile is very similar to Inlet Guide Vane control.</t>
  </si>
  <si>
    <t>&gt;5%</t>
  </si>
  <si>
    <t>Yearly Energy Savings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</si>
</sst>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&quot; &quot;"/>
    <numFmt numFmtId="175" formatCode="0.000%"/>
    <numFmt numFmtId="176" formatCode="General_)"/>
    <numFmt numFmtId="177" formatCode="0_)"/>
    <numFmt numFmtId="178" formatCode="0.0"/>
    <numFmt numFmtId="179" formatCode="0.0_)"/>
    <numFmt numFmtId="180" formatCode="0.000_)"/>
    <numFmt numFmtId="181" formatCode="0.00_)"/>
    <numFmt numFmtId="182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7"/>
      <name val="Arial"/>
      <family val="0"/>
    </font>
    <font>
      <b/>
      <sz val="19.25"/>
      <name val="Arial"/>
      <family val="0"/>
    </font>
    <font>
      <sz val="19.25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Tms Rmn"/>
      <family val="0"/>
    </font>
    <font>
      <u val="single"/>
      <sz val="12"/>
      <name val="Arial"/>
      <family val="0"/>
    </font>
    <font>
      <sz val="11"/>
      <name val="Arial"/>
      <family val="0"/>
    </font>
    <font>
      <vertAlign val="superscript"/>
      <sz val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173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>
      <alignment horizontal="center"/>
      <protection locked="0"/>
    </xf>
    <xf numFmtId="172" fontId="0" fillId="3" borderId="1" xfId="0" applyNumberFormat="1" applyFill="1" applyBorder="1" applyAlignment="1" applyProtection="1" quotePrefix="1">
      <alignment horizontal="center"/>
      <protection locked="0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0" borderId="0" xfId="0" applyNumberFormat="1" applyFont="1" applyAlignment="1" applyProtection="1">
      <alignment horizontal="center"/>
      <protection/>
    </xf>
    <xf numFmtId="9" fontId="7" fillId="0" borderId="0" xfId="0" applyNumberFormat="1" applyFont="1" applyAlignment="1" applyProtection="1">
      <alignment horizontal="center"/>
      <protection/>
    </xf>
    <xf numFmtId="176" fontId="11" fillId="0" borderId="0" xfId="0" applyNumberFormat="1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/>
      <protection/>
    </xf>
    <xf numFmtId="176" fontId="11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>
      <alignment horizontal="center"/>
      <protection/>
    </xf>
    <xf numFmtId="176" fontId="1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14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6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 applyProtection="1">
      <alignment horizontal="centerContinuous"/>
      <protection/>
    </xf>
    <xf numFmtId="176" fontId="15" fillId="0" borderId="0" xfId="0" applyNumberFormat="1" applyFont="1" applyAlignment="1" applyProtection="1">
      <alignment horizontal="center"/>
      <protection/>
    </xf>
    <xf numFmtId="177" fontId="15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178" fontId="15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center"/>
      <protection/>
    </xf>
    <xf numFmtId="180" fontId="15" fillId="0" borderId="0" xfId="0" applyNumberFormat="1" applyFont="1" applyAlignment="1" applyProtection="1">
      <alignment horizontal="center"/>
      <protection/>
    </xf>
    <xf numFmtId="176" fontId="15" fillId="0" borderId="0" xfId="0" applyNumberFormat="1" applyFont="1" applyAlignment="1" applyProtection="1">
      <alignment/>
      <protection/>
    </xf>
    <xf numFmtId="177" fontId="1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81" fontId="15" fillId="0" borderId="0" xfId="0" applyNumberFormat="1" applyFont="1" applyAlignment="1" applyProtection="1">
      <alignment horizontal="center"/>
      <protection/>
    </xf>
    <xf numFmtId="1" fontId="15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1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 quotePrefix="1">
      <alignment horizontal="center"/>
      <protection locked="0"/>
    </xf>
    <xf numFmtId="172" fontId="0" fillId="0" borderId="0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0" fontId="17" fillId="0" borderId="0" xfId="0" applyFont="1" applyAlignment="1" applyProtection="1">
      <alignment horizontal="left"/>
      <protection/>
    </xf>
    <xf numFmtId="10" fontId="17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8" fillId="0" borderId="5" xfId="0" applyFont="1" applyBorder="1" applyAlignment="1">
      <alignment horizontal="centerContinuous"/>
    </xf>
    <xf numFmtId="0" fontId="18" fillId="0" borderId="6" xfId="0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10" fontId="17" fillId="0" borderId="7" xfId="0" applyNumberFormat="1" applyFont="1" applyFill="1" applyBorder="1" applyAlignment="1" applyProtection="1">
      <alignment horizontal="center"/>
      <protection locked="0"/>
    </xf>
    <xf numFmtId="10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7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Fill="1" applyBorder="1" applyAlignment="1" applyProtection="1">
      <alignment horizontal="center"/>
      <protection locked="0"/>
    </xf>
    <xf numFmtId="10" fontId="7" fillId="0" borderId="7" xfId="0" applyNumberFormat="1" applyFont="1" applyFill="1" applyBorder="1" applyAlignment="1" applyProtection="1">
      <alignment horizontal="center"/>
      <protection locked="0"/>
    </xf>
    <xf numFmtId="10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9" fontId="0" fillId="3" borderId="7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2" fontId="7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78" fontId="0" fillId="2" borderId="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center"/>
    </xf>
    <xf numFmtId="172" fontId="0" fillId="0" borderId="23" xfId="0" applyNumberFormat="1" applyFill="1" applyBorder="1" applyAlignment="1" applyProtection="1" quotePrefix="1">
      <alignment horizontal="center"/>
      <protection locked="0"/>
    </xf>
    <xf numFmtId="0" fontId="0" fillId="0" borderId="24" xfId="0" applyBorder="1" applyAlignment="1">
      <alignment/>
    </xf>
    <xf numFmtId="0" fontId="0" fillId="0" borderId="5" xfId="0" applyBorder="1" applyAlignment="1">
      <alignment horizontal="centerContinuous"/>
    </xf>
    <xf numFmtId="173" fontId="0" fillId="3" borderId="8" xfId="0" applyNumberFormat="1" applyFill="1" applyBorder="1" applyAlignment="1" applyProtection="1">
      <alignment horizontal="center"/>
      <protection locked="0"/>
    </xf>
    <xf numFmtId="173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8" fontId="0" fillId="2" borderId="8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3" xfId="0" applyBorder="1" applyAlignment="1">
      <alignment horizontal="center"/>
    </xf>
    <xf numFmtId="9" fontId="0" fillId="0" borderId="23" xfId="0" applyNumberFormat="1" applyFill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173" fontId="0" fillId="2" borderId="1" xfId="0" applyNumberFormat="1" applyFill="1" applyBorder="1" applyAlignment="1" applyProtection="1">
      <alignment horizontal="center"/>
      <protection/>
    </xf>
    <xf numFmtId="173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Fan Power vs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845"/>
          <c:w val="0.9175"/>
          <c:h val="0.728"/>
        </c:manualLayout>
      </c:layout>
      <c:scatterChart>
        <c:scatterStyle val="smooth"/>
        <c:varyColors val="0"/>
        <c:ser>
          <c:idx val="0"/>
          <c:order val="0"/>
          <c:tx>
            <c:v>Discharge Damper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Calculations!$B$5:$L$5</c:f>
              <c:numCache>
                <c:ptCount val="11"/>
                <c:pt idx="0">
                  <c:v>0.332</c:v>
                </c:pt>
                <c:pt idx="1">
                  <c:v>0.44</c:v>
                </c:pt>
                <c:pt idx="2">
                  <c:v>0.54</c:v>
                </c:pt>
                <c:pt idx="3">
                  <c:v>0.63</c:v>
                </c:pt>
                <c:pt idx="4">
                  <c:v>0.715</c:v>
                </c:pt>
                <c:pt idx="5">
                  <c:v>0.795</c:v>
                </c:pt>
                <c:pt idx="6">
                  <c:v>0.863</c:v>
                </c:pt>
                <c:pt idx="7">
                  <c:v>0.91</c:v>
                </c:pt>
                <c:pt idx="8">
                  <c:v>0.95</c:v>
                </c:pt>
                <c:pt idx="9">
                  <c:v>0.98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lnlet Vane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Calculations!$B$6:$L$6</c:f>
              <c:numCache>
                <c:ptCount val="11"/>
                <c:pt idx="0">
                  <c:v>0.35</c:v>
                </c:pt>
                <c:pt idx="1">
                  <c:v>0.37</c:v>
                </c:pt>
                <c:pt idx="2">
                  <c:v>0.4</c:v>
                </c:pt>
                <c:pt idx="3">
                  <c:v>0.44</c:v>
                </c:pt>
                <c:pt idx="4">
                  <c:v>0.48</c:v>
                </c:pt>
                <c:pt idx="5">
                  <c:v>0.531</c:v>
                </c:pt>
                <c:pt idx="6">
                  <c:v>0.6</c:v>
                </c:pt>
                <c:pt idx="7">
                  <c:v>0.668</c:v>
                </c:pt>
                <c:pt idx="8">
                  <c:v>0.764</c:v>
                </c:pt>
                <c:pt idx="9">
                  <c:v>0.89</c:v>
                </c:pt>
                <c:pt idx="1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ASD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Calculations!$B$3:$L$3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Calculations!$B$7:$L$7</c:f>
              <c:numCache>
                <c:ptCount val="11"/>
                <c:pt idx="0">
                  <c:v>0</c:v>
                </c:pt>
                <c:pt idx="1">
                  <c:v>0.0010000000000000002</c:v>
                </c:pt>
                <c:pt idx="2">
                  <c:v>0.008000000000000002</c:v>
                </c:pt>
                <c:pt idx="3">
                  <c:v>0.027</c:v>
                </c:pt>
                <c:pt idx="4">
                  <c:v>0.06400000000000002</c:v>
                </c:pt>
                <c:pt idx="5">
                  <c:v>0.125</c:v>
                </c:pt>
                <c:pt idx="6">
                  <c:v>0.216</c:v>
                </c:pt>
                <c:pt idx="7">
                  <c:v>0.3429999999999999</c:v>
                </c:pt>
                <c:pt idx="8">
                  <c:v>0.5120000000000001</c:v>
                </c:pt>
                <c:pt idx="9">
                  <c:v>0.7290000000000001</c:v>
                </c:pt>
                <c:pt idx="10">
                  <c:v>1</c:v>
                </c:pt>
              </c:numCache>
            </c:numRef>
          </c:yVal>
          <c:smooth val="1"/>
        </c:ser>
        <c:axId val="53872688"/>
        <c:axId val="15092145"/>
      </c:scatterChart>
      <c:valAx>
        <c:axId val="538726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92145"/>
        <c:crosses val="autoZero"/>
        <c:crossBetween val="midCat"/>
        <c:dispUnits/>
      </c:valAx>
      <c:valAx>
        <c:axId val="150921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% Input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2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8775"/>
          <c:w val="0.23"/>
          <c:h val="0.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10</xdr:col>
      <xdr:colOff>552450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04775" y="47625"/>
        <a:ext cx="6543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tabSelected="1" workbookViewId="0" topLeftCell="A1">
      <selection activeCell="M13" sqref="M13"/>
    </sheetView>
  </sheetViews>
  <sheetFormatPr defaultColWidth="9.140625" defaultRowHeight="12.75"/>
  <cols>
    <col min="1" max="1" width="0.85546875" style="0" customWidth="1"/>
    <col min="2" max="2" width="26.00390625" style="0" customWidth="1"/>
    <col min="6" max="7" width="2.8515625" style="0" customWidth="1"/>
    <col min="8" max="8" width="11.00390625" style="0" customWidth="1"/>
    <col min="9" max="9" width="9.8515625" style="0" customWidth="1"/>
    <col min="10" max="11" width="2.8515625" style="0" customWidth="1"/>
  </cols>
  <sheetData>
    <row r="1" ht="3.75" customHeight="1" thickBot="1"/>
    <row r="2" spans="2:11" ht="12.75">
      <c r="B2" s="139" t="s">
        <v>200</v>
      </c>
      <c r="C2" s="140"/>
      <c r="D2" s="140"/>
      <c r="E2" s="140"/>
      <c r="F2" s="140"/>
      <c r="G2" s="140"/>
      <c r="H2" s="140"/>
      <c r="I2" s="140"/>
      <c r="J2" s="140"/>
      <c r="K2" s="141"/>
    </row>
    <row r="3" spans="2:11" ht="12.75">
      <c r="B3" s="142"/>
      <c r="C3" s="143"/>
      <c r="D3" s="143"/>
      <c r="E3" s="143"/>
      <c r="F3" s="143"/>
      <c r="G3" s="143"/>
      <c r="H3" s="143"/>
      <c r="I3" s="143"/>
      <c r="J3" s="143"/>
      <c r="K3" s="144"/>
    </row>
    <row r="4" spans="2:11" ht="12.75">
      <c r="B4" s="171" t="s">
        <v>212</v>
      </c>
      <c r="C4" s="156"/>
      <c r="D4" s="156"/>
      <c r="E4" s="157"/>
      <c r="F4" s="168"/>
      <c r="G4" s="173"/>
      <c r="H4" s="174" t="s">
        <v>3</v>
      </c>
      <c r="I4" s="174"/>
      <c r="J4" s="175"/>
      <c r="K4" s="144"/>
    </row>
    <row r="5" spans="2:11" ht="12.75">
      <c r="B5" s="147" t="s">
        <v>0</v>
      </c>
      <c r="C5" s="6">
        <v>500</v>
      </c>
      <c r="D5" s="143"/>
      <c r="E5" s="159"/>
      <c r="F5" s="143"/>
      <c r="G5" s="160"/>
      <c r="H5" s="148" t="s">
        <v>5</v>
      </c>
      <c r="I5" s="148" t="s">
        <v>201</v>
      </c>
      <c r="J5" s="176"/>
      <c r="K5" s="144"/>
    </row>
    <row r="6" spans="2:11" ht="12.75">
      <c r="B6" s="147" t="s">
        <v>1</v>
      </c>
      <c r="C6" s="6">
        <v>1771</v>
      </c>
      <c r="D6" s="143"/>
      <c r="E6" s="159"/>
      <c r="F6" s="143"/>
      <c r="G6" s="160"/>
      <c r="H6" s="148" t="s">
        <v>4</v>
      </c>
      <c r="I6" s="148" t="s">
        <v>202</v>
      </c>
      <c r="J6" s="159"/>
      <c r="K6" s="144"/>
    </row>
    <row r="7" spans="2:11" ht="12.75">
      <c r="B7" s="142"/>
      <c r="C7" s="148" t="s">
        <v>9</v>
      </c>
      <c r="D7" s="149" t="s">
        <v>11</v>
      </c>
      <c r="E7" s="161" t="s">
        <v>10</v>
      </c>
      <c r="F7" s="150"/>
      <c r="G7" s="160"/>
      <c r="H7" s="6">
        <v>0</v>
      </c>
      <c r="I7" s="7">
        <v>1</v>
      </c>
      <c r="J7" s="176"/>
      <c r="K7" s="151" t="str">
        <f>IF(I7&lt;0.9,"Error"," ")</f>
        <v> </v>
      </c>
    </row>
    <row r="8" spans="2:12" ht="12.75">
      <c r="B8" s="147" t="s">
        <v>8</v>
      </c>
      <c r="C8" s="9">
        <v>0.92</v>
      </c>
      <c r="D8" s="9">
        <v>0.91</v>
      </c>
      <c r="E8" s="10">
        <v>0.9</v>
      </c>
      <c r="F8" s="58"/>
      <c r="G8" s="160"/>
      <c r="H8" s="6">
        <v>2</v>
      </c>
      <c r="I8" s="7">
        <v>0.9</v>
      </c>
      <c r="J8" s="177"/>
      <c r="K8" s="151" t="str">
        <f>IF(I8&lt;0.8,"Error"," ")</f>
        <v> </v>
      </c>
      <c r="L8" s="21" t="str">
        <f>IF(I8&gt;0.999,"Error"," ")</f>
        <v> </v>
      </c>
    </row>
    <row r="9" spans="2:12" ht="12.75">
      <c r="B9" s="147" t="s">
        <v>204</v>
      </c>
      <c r="C9" s="60">
        <f>C5</f>
        <v>500</v>
      </c>
      <c r="D9" s="59" t="s">
        <v>178</v>
      </c>
      <c r="E9" s="162"/>
      <c r="F9" s="58"/>
      <c r="G9" s="160"/>
      <c r="H9" s="6">
        <v>6</v>
      </c>
      <c r="I9" s="7">
        <v>0.8</v>
      </c>
      <c r="J9" s="177"/>
      <c r="K9" s="151" t="str">
        <f>IF(I9&lt;0.7,"Error"," ")</f>
        <v> </v>
      </c>
      <c r="L9" s="21" t="str">
        <f>IF(I9&gt;0.9,"Error"," ")</f>
        <v> </v>
      </c>
    </row>
    <row r="10" spans="2:12" ht="12.75">
      <c r="B10" s="147" t="s">
        <v>2</v>
      </c>
      <c r="C10" s="6">
        <v>3.43</v>
      </c>
      <c r="D10" s="143" t="s">
        <v>12</v>
      </c>
      <c r="E10" s="159"/>
      <c r="F10" s="143"/>
      <c r="G10" s="158"/>
      <c r="H10" s="6">
        <v>7</v>
      </c>
      <c r="I10" s="7">
        <v>0.7</v>
      </c>
      <c r="J10" s="177"/>
      <c r="K10" s="151" t="str">
        <f>IF(I10&lt;0.6,"Error"," ")</f>
        <v> </v>
      </c>
      <c r="L10" s="21" t="str">
        <f>IF(I10&gt;0.8,"Error"," ")</f>
        <v> </v>
      </c>
    </row>
    <row r="11" spans="2:12" ht="12.75">
      <c r="B11" s="147" t="s">
        <v>7</v>
      </c>
      <c r="C11" s="5">
        <f>IF(H18&gt;24,"error",H18)</f>
        <v>24</v>
      </c>
      <c r="D11" s="143"/>
      <c r="E11" s="159"/>
      <c r="F11" s="143"/>
      <c r="G11" s="160"/>
      <c r="H11" s="6">
        <v>3</v>
      </c>
      <c r="I11" s="7">
        <v>0.6</v>
      </c>
      <c r="J11" s="177"/>
      <c r="K11" s="151" t="str">
        <f>IF(I11&lt;0.5,"Error"," ")</f>
        <v> </v>
      </c>
      <c r="L11" s="21" t="str">
        <f>IF(I11&gt;0.7,"Error"," ")</f>
        <v> </v>
      </c>
    </row>
    <row r="12" spans="2:12" ht="12.75">
      <c r="B12" s="147" t="s">
        <v>21</v>
      </c>
      <c r="C12" s="6">
        <v>365</v>
      </c>
      <c r="D12" s="143"/>
      <c r="E12" s="159"/>
      <c r="F12" s="143"/>
      <c r="G12" s="160"/>
      <c r="H12" s="6">
        <v>5</v>
      </c>
      <c r="I12" s="7">
        <v>0.5</v>
      </c>
      <c r="J12" s="177"/>
      <c r="K12" s="151" t="str">
        <f>IF(I12&lt;0.4,"Error"," ")</f>
        <v> </v>
      </c>
      <c r="L12" s="21" t="str">
        <f>IF(I12&gt;0.6,"Error"," ")</f>
        <v> </v>
      </c>
    </row>
    <row r="13" spans="2:12" ht="12.75">
      <c r="B13" s="172"/>
      <c r="C13" s="167"/>
      <c r="D13" s="137"/>
      <c r="E13" s="163"/>
      <c r="F13" s="145"/>
      <c r="G13" s="160"/>
      <c r="H13" s="6">
        <v>1</v>
      </c>
      <c r="I13" s="7">
        <v>0.4</v>
      </c>
      <c r="J13" s="177"/>
      <c r="K13" s="151" t="str">
        <f>IF(I13&lt;0.3,"Error"," ")</f>
        <v> </v>
      </c>
      <c r="L13" s="21" t="str">
        <f>IF(I13&gt;0.5,"Error"," ")</f>
        <v> </v>
      </c>
    </row>
    <row r="14" spans="2:12" ht="12.75">
      <c r="B14" s="171" t="s">
        <v>199</v>
      </c>
      <c r="C14" s="156"/>
      <c r="D14" s="156"/>
      <c r="E14" s="157"/>
      <c r="F14" s="168"/>
      <c r="G14" s="160"/>
      <c r="H14" s="6">
        <v>0</v>
      </c>
      <c r="I14" s="7">
        <v>0.3</v>
      </c>
      <c r="J14" s="177"/>
      <c r="K14" s="151" t="str">
        <f>IF(I14&lt;0.2,"Error"," ")</f>
        <v> </v>
      </c>
      <c r="L14" s="21" t="str">
        <f>IF(I14&gt;0.4,"Error"," ")</f>
        <v> </v>
      </c>
    </row>
    <row r="15" spans="2:12" ht="12.75">
      <c r="B15" s="147" t="s">
        <v>13</v>
      </c>
      <c r="C15" s="186">
        <f>Calculations!C30</f>
        <v>121820.17826086956</v>
      </c>
      <c r="D15" s="143"/>
      <c r="E15" s="159"/>
      <c r="F15" s="143"/>
      <c r="G15" s="160"/>
      <c r="H15" s="6">
        <v>0</v>
      </c>
      <c r="I15" s="7">
        <v>0.2</v>
      </c>
      <c r="J15" s="177"/>
      <c r="K15" s="151" t="str">
        <f>IF(I15&lt;0.1,"Error"," ")</f>
        <v> </v>
      </c>
      <c r="L15" s="21" t="str">
        <f>IF(I15&gt;0.3,"Error"," ")</f>
        <v> </v>
      </c>
    </row>
    <row r="16" spans="2:12" ht="12.75">
      <c r="B16" s="147" t="s">
        <v>15</v>
      </c>
      <c r="C16" s="186">
        <f>Calculations!K30</f>
        <v>108665.5323836444</v>
      </c>
      <c r="D16" s="143"/>
      <c r="E16" s="159"/>
      <c r="F16" s="143"/>
      <c r="G16" s="160"/>
      <c r="H16" s="6">
        <v>0</v>
      </c>
      <c r="I16" s="7">
        <v>0.1</v>
      </c>
      <c r="J16" s="177"/>
      <c r="K16" s="151" t="str">
        <f>IF(I16&lt;0,"Error"," ")</f>
        <v> </v>
      </c>
      <c r="L16" s="21" t="str">
        <f>IF(I16&gt;0.2,"Error"," ")</f>
        <v> </v>
      </c>
    </row>
    <row r="17" spans="2:12" ht="12.75">
      <c r="B17" s="147" t="s">
        <v>14</v>
      </c>
      <c r="C17" s="186">
        <f>Calculations!S30</f>
        <v>82217.40523630653</v>
      </c>
      <c r="D17" s="143"/>
      <c r="E17" s="159"/>
      <c r="F17" s="143"/>
      <c r="G17" s="160"/>
      <c r="H17" s="6">
        <v>0</v>
      </c>
      <c r="I17" s="7">
        <v>0</v>
      </c>
      <c r="J17" s="177"/>
      <c r="K17" s="152"/>
      <c r="L17" s="21" t="str">
        <f>IF(I17&gt;0.1,"Error"," ")</f>
        <v> </v>
      </c>
    </row>
    <row r="18" spans="2:12" ht="12.75">
      <c r="B18" s="147" t="s">
        <v>16</v>
      </c>
      <c r="C18" s="186">
        <f>Calculations!AP30</f>
        <v>44643.91449629623</v>
      </c>
      <c r="D18" s="143"/>
      <c r="E18" s="159"/>
      <c r="F18" s="143"/>
      <c r="G18" s="160"/>
      <c r="H18" s="136">
        <f>SUM(H7:H16)</f>
        <v>24</v>
      </c>
      <c r="I18" s="143"/>
      <c r="J18" s="177"/>
      <c r="K18" s="152"/>
      <c r="L18" s="21"/>
    </row>
    <row r="19" spans="2:11" ht="12.75">
      <c r="B19" s="172"/>
      <c r="C19" s="166"/>
      <c r="D19" s="137"/>
      <c r="E19" s="163"/>
      <c r="F19" s="143"/>
      <c r="G19" s="170"/>
      <c r="H19" s="137"/>
      <c r="I19" s="137"/>
      <c r="J19" s="163"/>
      <c r="K19" s="144"/>
    </row>
    <row r="20" spans="2:11" ht="12.75">
      <c r="B20" s="171" t="s">
        <v>206</v>
      </c>
      <c r="C20" s="164"/>
      <c r="D20" s="156"/>
      <c r="E20" s="156"/>
      <c r="F20" s="143"/>
      <c r="G20" s="143"/>
      <c r="H20" s="143"/>
      <c r="I20" s="143"/>
      <c r="J20" s="143"/>
      <c r="K20" s="144"/>
    </row>
    <row r="21" spans="2:11" ht="12.75">
      <c r="B21" s="147" t="s">
        <v>203</v>
      </c>
      <c r="C21" s="165">
        <v>50000</v>
      </c>
      <c r="D21" s="143"/>
      <c r="E21" s="143"/>
      <c r="F21" s="143"/>
      <c r="G21" s="143"/>
      <c r="H21" s="143"/>
      <c r="I21" s="143"/>
      <c r="J21" s="143"/>
      <c r="K21" s="144"/>
    </row>
    <row r="22" spans="2:11" ht="12.75">
      <c r="B22" s="147" t="s">
        <v>205</v>
      </c>
      <c r="C22" s="8">
        <v>24000</v>
      </c>
      <c r="D22" s="143"/>
      <c r="E22" s="146" t="s">
        <v>215</v>
      </c>
      <c r="F22" s="146"/>
      <c r="G22" s="146"/>
      <c r="H22" s="146"/>
      <c r="I22" s="146"/>
      <c r="J22" s="146"/>
      <c r="K22" s="144"/>
    </row>
    <row r="23" spans="2:11" ht="12.75"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2:11" ht="12.75">
      <c r="B24" s="147" t="s">
        <v>207</v>
      </c>
      <c r="C24" s="138">
        <f>($C$21+$C$22)/(C15-$C$18)</f>
        <v>0.9588440330013572</v>
      </c>
      <c r="D24" s="143" t="s">
        <v>211</v>
      </c>
      <c r="E24" s="143"/>
      <c r="F24" s="143"/>
      <c r="G24" s="143"/>
      <c r="H24" s="147" t="s">
        <v>207</v>
      </c>
      <c r="I24" s="187">
        <f>C15-$C$18</f>
        <v>77176.26376457333</v>
      </c>
      <c r="J24" s="143"/>
      <c r="K24" s="144"/>
    </row>
    <row r="25" spans="2:11" ht="12.75">
      <c r="B25" s="147" t="s">
        <v>208</v>
      </c>
      <c r="C25" s="138">
        <f>($C$21+$C$22)/(C16-$C$18)</f>
        <v>1.1558595743426805</v>
      </c>
      <c r="D25" s="143" t="s">
        <v>211</v>
      </c>
      <c r="E25" s="143"/>
      <c r="F25" s="143"/>
      <c r="G25" s="143"/>
      <c r="H25" s="147" t="s">
        <v>208</v>
      </c>
      <c r="I25" s="187">
        <f>C16-$C$18</f>
        <v>64021.61788734817</v>
      </c>
      <c r="J25" s="143"/>
      <c r="K25" s="144"/>
    </row>
    <row r="26" spans="2:11" ht="12.75">
      <c r="B26" s="147" t="s">
        <v>210</v>
      </c>
      <c r="C26" s="169">
        <f>($C$21+$C$22)/(C16-$C$18)</f>
        <v>1.1558595743426805</v>
      </c>
      <c r="D26" s="143" t="s">
        <v>211</v>
      </c>
      <c r="E26" s="143"/>
      <c r="F26" s="143"/>
      <c r="G26" s="143"/>
      <c r="H26" s="147" t="s">
        <v>210</v>
      </c>
      <c r="I26" s="187">
        <f>C16-$C$18</f>
        <v>64021.61788734817</v>
      </c>
      <c r="J26" s="143"/>
      <c r="K26" s="144"/>
    </row>
    <row r="27" spans="2:11" ht="12.75">
      <c r="B27" s="147" t="s">
        <v>209</v>
      </c>
      <c r="C27" s="138">
        <f>($C$21+$C$22)/(C17-$C$18)</f>
        <v>1.9694736513049285</v>
      </c>
      <c r="D27" s="143" t="s">
        <v>211</v>
      </c>
      <c r="E27" s="143"/>
      <c r="F27" s="143"/>
      <c r="G27" s="143"/>
      <c r="H27" s="147" t="s">
        <v>209</v>
      </c>
      <c r="I27" s="187">
        <f>C17-$C$18</f>
        <v>37573.4907400103</v>
      </c>
      <c r="J27" s="143"/>
      <c r="K27" s="144"/>
    </row>
    <row r="28" spans="2:11" ht="13.5" thickBot="1">
      <c r="B28" s="153"/>
      <c r="C28" s="154"/>
      <c r="D28" s="154"/>
      <c r="E28" s="154"/>
      <c r="F28" s="154"/>
      <c r="G28" s="154"/>
      <c r="H28" s="154"/>
      <c r="I28" s="154"/>
      <c r="J28" s="154"/>
      <c r="K28" s="155"/>
    </row>
    <row r="30" ht="12.75">
      <c r="B30" t="s">
        <v>213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25"/>
  <sheetViews>
    <sheetView showGridLine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20" sqref="G20"/>
    </sheetView>
  </sheetViews>
  <sheetFormatPr defaultColWidth="9.140625" defaultRowHeight="12.75"/>
  <cols>
    <col min="3" max="4" width="8.8515625" style="1" hidden="1" customWidth="1"/>
    <col min="9" max="11" width="7.8515625" style="0" hidden="1" customWidth="1"/>
    <col min="13" max="14" width="0" style="0" hidden="1" customWidth="1"/>
    <col min="15" max="15" width="7.421875" style="0" customWidth="1"/>
    <col min="18" max="18" width="0" style="0" hidden="1" customWidth="1"/>
    <col min="20" max="20" width="0" style="0" hidden="1" customWidth="1"/>
    <col min="26" max="26" width="8.57421875" style="0" customWidth="1"/>
    <col min="27" max="27" width="8.57421875" style="0" hidden="1" customWidth="1"/>
    <col min="28" max="28" width="0" style="0" hidden="1" customWidth="1"/>
    <col min="29" max="29" width="8.57421875" style="1" customWidth="1"/>
    <col min="30" max="30" width="0" style="0" hidden="1" customWidth="1"/>
    <col min="31" max="31" width="8.7109375" style="0" hidden="1" customWidth="1"/>
    <col min="32" max="38" width="0" style="0" hidden="1" customWidth="1"/>
    <col min="40" max="40" width="0" style="0" hidden="1" customWidth="1"/>
    <col min="44" max="45" width="7.8515625" style="1" customWidth="1"/>
    <col min="55" max="55" width="2.140625" style="0" customWidth="1"/>
  </cols>
  <sheetData>
    <row r="1" spans="1:56" ht="15.75">
      <c r="A1" s="28" t="s">
        <v>172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Q1" s="31"/>
      <c r="R1" s="31"/>
      <c r="S1" s="31"/>
      <c r="T1" s="31"/>
      <c r="U1" s="30"/>
      <c r="V1" s="30"/>
      <c r="W1" s="30"/>
      <c r="X1" s="30"/>
      <c r="Y1" s="30"/>
      <c r="Z1" s="32"/>
      <c r="AA1" s="30"/>
      <c r="AB1" s="30"/>
      <c r="AD1" s="31"/>
      <c r="AE1" s="31"/>
      <c r="AF1" s="30"/>
      <c r="AG1" s="30"/>
      <c r="AH1" s="30"/>
      <c r="AI1" s="30"/>
      <c r="AJ1" s="30"/>
      <c r="AK1" s="30"/>
      <c r="AL1" s="30"/>
      <c r="AN1" s="33"/>
      <c r="AO1" s="33"/>
      <c r="AP1" s="34" t="s">
        <v>27</v>
      </c>
      <c r="AQ1" s="30"/>
      <c r="AY1" s="35"/>
      <c r="BC1" s="30"/>
      <c r="BD1">
        <v>1.3</v>
      </c>
    </row>
    <row r="2" spans="1:55" ht="15.75">
      <c r="A2" s="57" t="s">
        <v>177</v>
      </c>
      <c r="B2" s="39"/>
      <c r="C2" s="37"/>
      <c r="D2" s="37"/>
      <c r="E2" s="39"/>
      <c r="F2" s="39"/>
      <c r="G2" s="39"/>
      <c r="H2" s="37"/>
      <c r="I2" s="37"/>
      <c r="J2" s="37"/>
      <c r="K2" s="37"/>
      <c r="L2" s="31"/>
      <c r="M2" s="39"/>
      <c r="N2" s="39"/>
      <c r="O2" s="39"/>
      <c r="P2" s="39"/>
      <c r="Q2" s="39"/>
      <c r="R2" s="37" t="s">
        <v>36</v>
      </c>
      <c r="S2" s="39"/>
      <c r="T2" s="37" t="s">
        <v>36</v>
      </c>
      <c r="U2" s="39"/>
      <c r="V2" s="39"/>
      <c r="W2" s="39"/>
      <c r="X2" s="39"/>
      <c r="Y2" s="56"/>
      <c r="Z2" s="56"/>
      <c r="AA2" s="39"/>
      <c r="AB2" s="39"/>
      <c r="AD2" s="39"/>
      <c r="AE2" s="39"/>
      <c r="AF2" s="36"/>
      <c r="AG2" s="36"/>
      <c r="AH2" s="39"/>
      <c r="AI2" s="39"/>
      <c r="AJ2" s="37" t="s">
        <v>173</v>
      </c>
      <c r="AK2" s="39"/>
      <c r="AL2" s="39"/>
      <c r="AM2" s="39"/>
      <c r="AN2" s="39"/>
      <c r="AO2" s="39"/>
      <c r="AP2" s="39"/>
      <c r="AQ2" s="39"/>
      <c r="AY2" s="39"/>
      <c r="BC2" s="39"/>
    </row>
    <row r="3" spans="1:55" s="1" customFormat="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28</v>
      </c>
      <c r="S3" s="36"/>
      <c r="T3" s="37" t="s">
        <v>28</v>
      </c>
      <c r="U3" s="36"/>
      <c r="V3" s="36"/>
      <c r="W3" s="36"/>
      <c r="X3" s="36"/>
      <c r="Y3" s="37" t="s">
        <v>29</v>
      </c>
      <c r="Z3" s="37" t="s">
        <v>29</v>
      </c>
      <c r="AA3" s="37" t="s">
        <v>30</v>
      </c>
      <c r="AB3" s="37"/>
      <c r="AC3" s="38"/>
      <c r="AD3" s="37"/>
      <c r="AE3" s="37"/>
      <c r="AF3" s="37" t="s">
        <v>31</v>
      </c>
      <c r="AG3" s="37"/>
      <c r="AH3" s="37" t="s">
        <v>32</v>
      </c>
      <c r="AI3" s="37" t="s">
        <v>33</v>
      </c>
      <c r="AJ3" s="37" t="s">
        <v>30</v>
      </c>
      <c r="AK3" s="37" t="s">
        <v>30</v>
      </c>
      <c r="AL3" s="37"/>
      <c r="AM3" s="36"/>
      <c r="AN3" s="37"/>
      <c r="AO3" s="37" t="s">
        <v>34</v>
      </c>
      <c r="AP3" s="37" t="s">
        <v>34</v>
      </c>
      <c r="AQ3" s="37" t="s">
        <v>35</v>
      </c>
      <c r="AR3" s="1" t="s">
        <v>36</v>
      </c>
      <c r="AS3" s="1" t="s">
        <v>37</v>
      </c>
      <c r="AT3"/>
      <c r="AU3"/>
      <c r="AV3"/>
      <c r="AW3"/>
      <c r="AX3"/>
      <c r="AY3" s="37"/>
      <c r="AZ3"/>
      <c r="BA3"/>
      <c r="BB3"/>
      <c r="BC3" s="37"/>
    </row>
    <row r="4" spans="1:55" ht="15">
      <c r="A4" s="37" t="s">
        <v>38</v>
      </c>
      <c r="B4" s="39"/>
      <c r="C4" s="37" t="s">
        <v>39</v>
      </c>
      <c r="D4" s="37" t="s">
        <v>40</v>
      </c>
      <c r="E4" s="39"/>
      <c r="F4" s="37" t="s">
        <v>41</v>
      </c>
      <c r="G4" s="37"/>
      <c r="H4" s="37"/>
      <c r="I4" s="40">
        <v>0.75</v>
      </c>
      <c r="J4" s="40" t="s">
        <v>42</v>
      </c>
      <c r="K4" s="40" t="s">
        <v>174</v>
      </c>
      <c r="L4" s="37"/>
      <c r="M4" s="39"/>
      <c r="N4" s="37" t="s">
        <v>42</v>
      </c>
      <c r="O4" s="39"/>
      <c r="P4" s="39"/>
      <c r="Q4" s="37" t="s">
        <v>43</v>
      </c>
      <c r="R4" s="37" t="s">
        <v>43</v>
      </c>
      <c r="S4" s="37" t="s">
        <v>43</v>
      </c>
      <c r="T4" s="37" t="s">
        <v>43</v>
      </c>
      <c r="U4" s="37" t="s">
        <v>43</v>
      </c>
      <c r="V4" s="37" t="s">
        <v>44</v>
      </c>
      <c r="W4" s="37" t="s">
        <v>44</v>
      </c>
      <c r="X4" s="37" t="s">
        <v>44</v>
      </c>
      <c r="Y4" s="37" t="s">
        <v>32</v>
      </c>
      <c r="Z4" s="37" t="s">
        <v>32</v>
      </c>
      <c r="AA4" s="37" t="s">
        <v>45</v>
      </c>
      <c r="AB4" s="37" t="s">
        <v>37</v>
      </c>
      <c r="AC4" s="41" t="s">
        <v>46</v>
      </c>
      <c r="AD4" s="37" t="s">
        <v>9</v>
      </c>
      <c r="AE4" s="37" t="s">
        <v>42</v>
      </c>
      <c r="AF4" s="42" t="s">
        <v>47</v>
      </c>
      <c r="AG4" s="42"/>
      <c r="AH4" s="37" t="s">
        <v>48</v>
      </c>
      <c r="AI4" s="37" t="s">
        <v>30</v>
      </c>
      <c r="AJ4" s="37" t="s">
        <v>49</v>
      </c>
      <c r="AK4" s="37" t="s">
        <v>50</v>
      </c>
      <c r="AL4" s="37" t="s">
        <v>51</v>
      </c>
      <c r="AM4" s="39"/>
      <c r="AN4" s="39"/>
      <c r="AO4" s="37" t="s">
        <v>52</v>
      </c>
      <c r="AP4" s="37" t="s">
        <v>52</v>
      </c>
      <c r="AQ4" s="37" t="s">
        <v>53</v>
      </c>
      <c r="AR4" s="1" t="s">
        <v>6</v>
      </c>
      <c r="AS4" s="1" t="s">
        <v>54</v>
      </c>
      <c r="AY4" s="39"/>
      <c r="BC4" s="39"/>
    </row>
    <row r="5" spans="1:55" ht="18">
      <c r="A5" s="37" t="s">
        <v>55</v>
      </c>
      <c r="B5" s="37" t="s">
        <v>56</v>
      </c>
      <c r="C5" s="37" t="s">
        <v>57</v>
      </c>
      <c r="D5" s="37" t="s">
        <v>57</v>
      </c>
      <c r="E5" s="37" t="s">
        <v>58</v>
      </c>
      <c r="F5" s="37" t="s">
        <v>59</v>
      </c>
      <c r="G5" s="37" t="s">
        <v>60</v>
      </c>
      <c r="H5" s="37" t="s">
        <v>61</v>
      </c>
      <c r="I5" s="37" t="s">
        <v>62</v>
      </c>
      <c r="J5" s="37" t="s">
        <v>62</v>
      </c>
      <c r="K5" s="37" t="s">
        <v>62</v>
      </c>
      <c r="L5" s="37" t="s">
        <v>63</v>
      </c>
      <c r="M5" s="37" t="s">
        <v>64</v>
      </c>
      <c r="N5" s="37" t="s">
        <v>54</v>
      </c>
      <c r="O5" s="37" t="s">
        <v>65</v>
      </c>
      <c r="P5" s="37" t="s">
        <v>66</v>
      </c>
      <c r="Q5" s="37" t="s">
        <v>67</v>
      </c>
      <c r="R5" s="37" t="s">
        <v>67</v>
      </c>
      <c r="S5" s="37" t="s">
        <v>68</v>
      </c>
      <c r="T5" s="37" t="s">
        <v>68</v>
      </c>
      <c r="U5" s="37" t="s">
        <v>69</v>
      </c>
      <c r="V5" s="37" t="s">
        <v>70</v>
      </c>
      <c r="W5" s="37" t="s">
        <v>71</v>
      </c>
      <c r="X5" s="37" t="s">
        <v>72</v>
      </c>
      <c r="Y5" s="37" t="s">
        <v>73</v>
      </c>
      <c r="Z5" s="37" t="s">
        <v>74</v>
      </c>
      <c r="AA5" s="37" t="s">
        <v>75</v>
      </c>
      <c r="AB5" s="37" t="s">
        <v>76</v>
      </c>
      <c r="AC5" s="41" t="s">
        <v>77</v>
      </c>
      <c r="AD5" s="37" t="s">
        <v>78</v>
      </c>
      <c r="AE5" s="37" t="s">
        <v>78</v>
      </c>
      <c r="AF5" s="37" t="s">
        <v>79</v>
      </c>
      <c r="AG5" s="37" t="s">
        <v>80</v>
      </c>
      <c r="AH5" s="37" t="s">
        <v>81</v>
      </c>
      <c r="AI5" s="37" t="s">
        <v>175</v>
      </c>
      <c r="AJ5" s="37" t="s">
        <v>175</v>
      </c>
      <c r="AK5" s="37" t="s">
        <v>175</v>
      </c>
      <c r="AL5" s="37" t="s">
        <v>83</v>
      </c>
      <c r="AM5" s="37" t="s">
        <v>84</v>
      </c>
      <c r="AN5" s="37" t="s">
        <v>85</v>
      </c>
      <c r="AO5" s="37" t="s">
        <v>67</v>
      </c>
      <c r="AP5" s="37" t="s">
        <v>86</v>
      </c>
      <c r="AQ5" s="37" t="s">
        <v>87</v>
      </c>
      <c r="AR5" s="4" t="s">
        <v>88</v>
      </c>
      <c r="AS5" s="4" t="s">
        <v>89</v>
      </c>
      <c r="AY5" s="37"/>
      <c r="BC5" s="39"/>
    </row>
    <row r="6" spans="1:55" ht="18">
      <c r="A6" s="39"/>
      <c r="B6" s="39"/>
      <c r="C6" s="37"/>
      <c r="D6" s="37"/>
      <c r="E6" s="37" t="s">
        <v>90</v>
      </c>
      <c r="F6" s="37" t="s">
        <v>91</v>
      </c>
      <c r="G6" s="37" t="s">
        <v>92</v>
      </c>
      <c r="H6" s="37" t="s">
        <v>92</v>
      </c>
      <c r="I6" s="37" t="s">
        <v>92</v>
      </c>
      <c r="J6" s="37" t="s">
        <v>92</v>
      </c>
      <c r="K6" s="37" t="s">
        <v>92</v>
      </c>
      <c r="L6" s="37" t="s">
        <v>92</v>
      </c>
      <c r="M6" s="37" t="s">
        <v>93</v>
      </c>
      <c r="N6" s="37" t="s">
        <v>93</v>
      </c>
      <c r="O6" s="37" t="s">
        <v>94</v>
      </c>
      <c r="P6" s="37" t="s">
        <v>94</v>
      </c>
      <c r="Q6" s="37" t="s">
        <v>94</v>
      </c>
      <c r="R6" s="37" t="s">
        <v>94</v>
      </c>
      <c r="S6" s="37" t="s">
        <v>94</v>
      </c>
      <c r="T6" s="37" t="s">
        <v>94</v>
      </c>
      <c r="U6" s="37" t="s">
        <v>94</v>
      </c>
      <c r="V6" s="37" t="s">
        <v>94</v>
      </c>
      <c r="W6" s="37" t="s">
        <v>94</v>
      </c>
      <c r="X6" s="37" t="s">
        <v>94</v>
      </c>
      <c r="Y6" s="37" t="s">
        <v>95</v>
      </c>
      <c r="Z6" s="37" t="s">
        <v>95</v>
      </c>
      <c r="AA6" s="37" t="s">
        <v>92</v>
      </c>
      <c r="AB6" s="37"/>
      <c r="AD6" s="37" t="s">
        <v>96</v>
      </c>
      <c r="AE6" s="37" t="s">
        <v>96</v>
      </c>
      <c r="AF6" s="37" t="s">
        <v>95</v>
      </c>
      <c r="AG6" s="37" t="s">
        <v>95</v>
      </c>
      <c r="AH6" s="37" t="s">
        <v>95</v>
      </c>
      <c r="AI6" s="37" t="s">
        <v>176</v>
      </c>
      <c r="AJ6" s="37" t="s">
        <v>176</v>
      </c>
      <c r="AK6" s="37" t="s">
        <v>176</v>
      </c>
      <c r="AL6" s="37" t="s">
        <v>176</v>
      </c>
      <c r="AM6" s="37" t="s">
        <v>98</v>
      </c>
      <c r="AN6" s="37" t="s">
        <v>99</v>
      </c>
      <c r="AO6" s="37" t="s">
        <v>100</v>
      </c>
      <c r="AP6" s="37" t="s">
        <v>100</v>
      </c>
      <c r="AQ6" s="37" t="s">
        <v>101</v>
      </c>
      <c r="AR6" s="1" t="s">
        <v>102</v>
      </c>
      <c r="AS6" s="1" t="s">
        <v>94</v>
      </c>
      <c r="AY6" s="37"/>
      <c r="BC6" s="39"/>
    </row>
    <row r="7" spans="1:55" ht="6.75" customHeight="1">
      <c r="A7" s="39"/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 t="s">
        <v>103</v>
      </c>
      <c r="Z7" s="37" t="s">
        <v>103</v>
      </c>
      <c r="AA7" s="37"/>
      <c r="AB7" s="37"/>
      <c r="AD7" s="39"/>
      <c r="AE7" s="39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1" t="s">
        <v>104</v>
      </c>
      <c r="AS7" s="1" t="s">
        <v>104</v>
      </c>
      <c r="AY7" s="37"/>
      <c r="BC7" s="39"/>
    </row>
    <row r="8" spans="1:55" ht="14.25">
      <c r="A8" s="43">
        <v>0.75</v>
      </c>
      <c r="B8" s="44">
        <v>900</v>
      </c>
      <c r="C8" s="45" t="s">
        <v>105</v>
      </c>
      <c r="D8" s="45" t="s">
        <v>105</v>
      </c>
      <c r="E8" s="43" t="s">
        <v>106</v>
      </c>
      <c r="F8" s="43">
        <v>860</v>
      </c>
      <c r="G8" s="47">
        <v>1.6</v>
      </c>
      <c r="H8" s="47">
        <f>ROUND(A8*746*10000/(Q8*V8*1.732*460),1)</f>
        <v>2</v>
      </c>
      <c r="I8" s="47">
        <f>ROUND(A8*0.75*746*10000/(S8*W8*1.732*460),1)</f>
        <v>1.9</v>
      </c>
      <c r="J8" s="47"/>
      <c r="K8" s="47"/>
      <c r="L8" s="47">
        <v>8</v>
      </c>
      <c r="M8" s="47">
        <f>ROUND(A8*5250/F8,1)</f>
        <v>4.6</v>
      </c>
      <c r="N8" s="47">
        <f>ROUND(A8*5250*0.75/(B8-((B8-F8)*0.75)),1)</f>
        <v>3.4</v>
      </c>
      <c r="O8" s="44">
        <v>240</v>
      </c>
      <c r="P8" s="44">
        <v>250</v>
      </c>
      <c r="Q8" s="47">
        <v>70</v>
      </c>
      <c r="R8" s="47">
        <f>A8*746/(A8*746+(AD8*1.2))*100</f>
        <v>66.0377358490566</v>
      </c>
      <c r="S8" s="47">
        <v>67.2</v>
      </c>
      <c r="T8" s="47">
        <f>ROUND(A8*0.75*746/(A8*0.75*746+(AE8*1.2))*100,1)</f>
        <v>63.1</v>
      </c>
      <c r="U8" s="47">
        <v>61.8</v>
      </c>
      <c r="V8" s="47">
        <v>49</v>
      </c>
      <c r="W8" s="47">
        <v>40.8</v>
      </c>
      <c r="X8" s="47">
        <v>30.7</v>
      </c>
      <c r="Y8" s="44">
        <v>51</v>
      </c>
      <c r="Z8" s="44">
        <v>21</v>
      </c>
      <c r="AA8" s="44">
        <f>H8*13</f>
        <v>26</v>
      </c>
      <c r="AB8" s="46"/>
      <c r="AC8" s="44">
        <v>48</v>
      </c>
      <c r="AD8" s="43">
        <f>(A8*746-(Q8/100*(A8*746)))/(Q8/100)</f>
        <v>239.78571428571433</v>
      </c>
      <c r="AE8" s="43">
        <f>(A8*746*0.75-(S8/100*(A8*0.75*746)))/(S8/100)</f>
        <v>204.81696428571428</v>
      </c>
      <c r="AF8" s="43"/>
      <c r="AG8" s="43"/>
      <c r="AH8" s="43"/>
      <c r="AI8" s="43">
        <v>198</v>
      </c>
      <c r="AJ8" s="43">
        <f>AI8*1</f>
        <v>198</v>
      </c>
      <c r="AK8" s="43"/>
      <c r="AL8" s="48" t="s">
        <v>107</v>
      </c>
      <c r="AM8" s="43">
        <v>57</v>
      </c>
      <c r="AN8" s="43" t="s">
        <v>108</v>
      </c>
      <c r="AO8" s="43">
        <v>55</v>
      </c>
      <c r="AP8" s="44">
        <v>65</v>
      </c>
      <c r="AQ8" s="43" t="s">
        <v>109</v>
      </c>
      <c r="AR8" s="1" t="s">
        <v>110</v>
      </c>
      <c r="AS8" s="1" t="s">
        <v>110</v>
      </c>
      <c r="AY8" s="43"/>
      <c r="BC8" s="49"/>
    </row>
    <row r="9" spans="1:55" ht="14.25">
      <c r="A9" s="43">
        <v>0.75</v>
      </c>
      <c r="B9" s="44">
        <v>1200</v>
      </c>
      <c r="C9" s="45" t="s">
        <v>111</v>
      </c>
      <c r="D9" s="45" t="s">
        <v>111</v>
      </c>
      <c r="E9" s="43" t="s">
        <v>112</v>
      </c>
      <c r="F9" s="43">
        <v>1160</v>
      </c>
      <c r="G9" s="47">
        <v>1.1</v>
      </c>
      <c r="H9" s="47">
        <f>ROUND(A9*746*10000/(Q9*V9*1.732*460),1)</f>
        <v>1.4</v>
      </c>
      <c r="I9" s="47">
        <f>ROUND(A9*0.75*746*10000/(S9*W9*1.732*460),1)</f>
        <v>1.3</v>
      </c>
      <c r="J9" s="47"/>
      <c r="K9" s="47"/>
      <c r="L9" s="47">
        <v>9.5</v>
      </c>
      <c r="M9" s="47">
        <f>ROUND(A9*5250/F9,1)</f>
        <v>3.4</v>
      </c>
      <c r="N9" s="47">
        <f>ROUND(A9*5250*0.75/(B9-((B9-F9)*0.75)),1)</f>
        <v>2.5</v>
      </c>
      <c r="O9" s="44">
        <v>365</v>
      </c>
      <c r="P9" s="44">
        <v>375</v>
      </c>
      <c r="Q9" s="47">
        <v>79.8</v>
      </c>
      <c r="R9" s="47">
        <f>A9*746/(A9*746+(AD9*1.2))*100</f>
        <v>76.70126874279121</v>
      </c>
      <c r="S9" s="47">
        <v>78.7</v>
      </c>
      <c r="T9" s="47">
        <f>ROUND(A9*0.75*746/(A9*0.75*746+(AE9*1.2))*100,1)</f>
        <v>75.5</v>
      </c>
      <c r="U9" s="47">
        <v>74.8</v>
      </c>
      <c r="V9" s="47">
        <v>61.5</v>
      </c>
      <c r="W9" s="47">
        <v>52</v>
      </c>
      <c r="X9" s="47">
        <v>40.7</v>
      </c>
      <c r="Y9" s="44">
        <v>52</v>
      </c>
      <c r="Z9" s="44">
        <v>30</v>
      </c>
      <c r="AA9" s="44">
        <f>H9*13</f>
        <v>18.2</v>
      </c>
      <c r="AB9" s="46">
        <v>0.8</v>
      </c>
      <c r="AC9" s="44">
        <v>50</v>
      </c>
      <c r="AD9" s="43">
        <f>(A9*746-(Q9/100*(A9*746)))/(Q9/100)</f>
        <v>141.62781954887228</v>
      </c>
      <c r="AE9" s="43">
        <f>(A9*746*0.75-(S9/100*(A9*0.75*746)))/(S9/100)</f>
        <v>113.57067979669627</v>
      </c>
      <c r="AF9" s="43">
        <f>AG9+1</f>
        <v>35</v>
      </c>
      <c r="AG9" s="43">
        <v>34</v>
      </c>
      <c r="AH9" s="43"/>
      <c r="AI9" s="43">
        <v>87</v>
      </c>
      <c r="AJ9" s="43">
        <f>AI9*$BD$1</f>
        <v>113.10000000000001</v>
      </c>
      <c r="AK9" s="43"/>
      <c r="AL9" s="48">
        <f>$BD$1*0.088</f>
        <v>0.1144</v>
      </c>
      <c r="AM9" s="43">
        <v>46</v>
      </c>
      <c r="AN9" s="43" t="s">
        <v>108</v>
      </c>
      <c r="AO9" s="43">
        <v>23</v>
      </c>
      <c r="AP9" s="44">
        <v>29</v>
      </c>
      <c r="AQ9" s="43" t="s">
        <v>109</v>
      </c>
      <c r="AR9" s="1">
        <v>10</v>
      </c>
      <c r="AS9" s="1">
        <v>100</v>
      </c>
      <c r="AY9" s="43"/>
      <c r="BC9" s="50"/>
    </row>
    <row r="10" spans="1:55" ht="14.25">
      <c r="A10" s="43">
        <v>0.75</v>
      </c>
      <c r="B10" s="44">
        <v>1800</v>
      </c>
      <c r="C10" s="45" t="s">
        <v>111</v>
      </c>
      <c r="D10" s="45" t="s">
        <v>111</v>
      </c>
      <c r="E10" s="43" t="s">
        <v>112</v>
      </c>
      <c r="F10" s="43">
        <v>1762</v>
      </c>
      <c r="G10" s="47">
        <v>0.8</v>
      </c>
      <c r="H10" s="47">
        <f>ROUND(A10*746*10000/(Q10*V10*1.732*460),1)</f>
        <v>1.1</v>
      </c>
      <c r="I10" s="47">
        <f>ROUND(A10*0.75*746*10000/(S10*W10*1.732*460),1)</f>
        <v>1.1</v>
      </c>
      <c r="J10" s="47"/>
      <c r="K10" s="47"/>
      <c r="L10" s="47">
        <v>11</v>
      </c>
      <c r="M10" s="47">
        <f>ROUND(A10*5250/F10,1)</f>
        <v>2.2</v>
      </c>
      <c r="N10" s="47">
        <f>ROUND(A10*5250*0.75/(B10-((B10-F10)*0.75)),1)</f>
        <v>1.7</v>
      </c>
      <c r="O10" s="44">
        <v>448</v>
      </c>
      <c r="P10" s="44">
        <v>491</v>
      </c>
      <c r="Q10" s="47">
        <v>84.7</v>
      </c>
      <c r="R10" s="47">
        <f>A10*746/(A10*746+(AD10*1.2))*100</f>
        <v>82.18513487288958</v>
      </c>
      <c r="S10" s="47">
        <v>82.9</v>
      </c>
      <c r="T10" s="47">
        <f>ROUND(A10*0.75*746/(A10*0.75*746+(AE10*1.2))*100,1)</f>
        <v>80.2</v>
      </c>
      <c r="U10" s="47">
        <v>81.3</v>
      </c>
      <c r="V10" s="47">
        <v>72.7</v>
      </c>
      <c r="W10" s="47">
        <v>60.2</v>
      </c>
      <c r="X10" s="47">
        <v>52.7</v>
      </c>
      <c r="Y10" s="44">
        <v>44</v>
      </c>
      <c r="Z10" s="44">
        <v>26</v>
      </c>
      <c r="AA10" s="44">
        <f>H10*13</f>
        <v>14.3</v>
      </c>
      <c r="AB10" s="46">
        <v>0.5</v>
      </c>
      <c r="AC10" s="44">
        <v>46</v>
      </c>
      <c r="AD10" s="43">
        <f>(A10*746-(Q10/100*(A10*746)))/(Q10/100)</f>
        <v>101.06670602125148</v>
      </c>
      <c r="AE10" s="43">
        <f>(A10*746*0.75-(S10/100*(A10*0.75*746)))/(S10/100)</f>
        <v>86.55714716525928</v>
      </c>
      <c r="AF10" s="43">
        <f>AG10+1</f>
        <v>31</v>
      </c>
      <c r="AG10" s="43">
        <v>30</v>
      </c>
      <c r="AH10" s="43"/>
      <c r="AI10" s="43"/>
      <c r="AJ10" s="43"/>
      <c r="AK10" s="43"/>
      <c r="AL10" s="48">
        <f>$BD$1*0.0865</f>
        <v>0.11245000000000001</v>
      </c>
      <c r="AM10" s="43">
        <v>42</v>
      </c>
      <c r="AN10" s="43" t="s">
        <v>108</v>
      </c>
      <c r="AO10" s="43">
        <v>14</v>
      </c>
      <c r="AP10" s="44">
        <v>17</v>
      </c>
      <c r="AQ10" s="43" t="s">
        <v>109</v>
      </c>
      <c r="AR10" s="1">
        <v>10</v>
      </c>
      <c r="AS10" s="1">
        <v>100</v>
      </c>
      <c r="AY10" s="43"/>
      <c r="BC10" s="49"/>
    </row>
    <row r="11" spans="1:55" ht="14.25">
      <c r="A11" s="43">
        <v>0.75</v>
      </c>
      <c r="B11" s="44">
        <v>3600</v>
      </c>
      <c r="C11" s="45" t="s">
        <v>111</v>
      </c>
      <c r="D11" s="45" t="s">
        <v>111</v>
      </c>
      <c r="E11" s="43" t="s">
        <v>112</v>
      </c>
      <c r="F11" s="43">
        <v>3545</v>
      </c>
      <c r="G11" s="47">
        <v>1.1</v>
      </c>
      <c r="H11" s="47">
        <f>ROUND(A11*746*10000/(Q11*V11*1.732*460),1)</f>
        <v>1.4</v>
      </c>
      <c r="I11" s="47">
        <f>ROUND(A11*0.75*746*10000/(S11*W11*1.732*460),1)</f>
        <v>1.2</v>
      </c>
      <c r="J11" s="47"/>
      <c r="K11" s="47"/>
      <c r="L11" s="47">
        <v>20</v>
      </c>
      <c r="M11" s="47">
        <f>ROUND(A11*5250/F11,1)</f>
        <v>1.1</v>
      </c>
      <c r="N11" s="47">
        <f>ROUND(A11*5250*0.75/(B11-((B11-F11)*0.75)),1)</f>
        <v>0.8</v>
      </c>
      <c r="O11" s="44">
        <v>700</v>
      </c>
      <c r="P11" s="44">
        <v>800</v>
      </c>
      <c r="Q11" s="47">
        <v>80.5</v>
      </c>
      <c r="R11" s="47">
        <f>A11*746/(A11*746+(AD11*1.2))*100</f>
        <v>77.47834456207895</v>
      </c>
      <c r="S11" s="47">
        <v>79</v>
      </c>
      <c r="T11" s="47">
        <f>ROUND(A11*0.75*746/(A11*0.75*746+(AE11*1.2))*100,1)</f>
        <v>75.8</v>
      </c>
      <c r="U11" s="47">
        <v>75.3</v>
      </c>
      <c r="V11" s="47">
        <v>63.2</v>
      </c>
      <c r="W11" s="47">
        <v>53.5</v>
      </c>
      <c r="X11" s="47">
        <v>47.6</v>
      </c>
      <c r="Y11" s="44">
        <v>34</v>
      </c>
      <c r="Z11" s="44">
        <v>20</v>
      </c>
      <c r="AA11" s="44">
        <f>H11*13</f>
        <v>18.2</v>
      </c>
      <c r="AB11" s="46">
        <v>0.8</v>
      </c>
      <c r="AC11" s="44">
        <v>58</v>
      </c>
      <c r="AD11" s="43">
        <f>A11*746/(Q11/100)-A11*746</f>
        <v>135.53105590062103</v>
      </c>
      <c r="AE11" s="43">
        <f>(A11*746*0.75-(S11/100*(A11*0.75*746)))/(S11/100)</f>
        <v>111.54588607594933</v>
      </c>
      <c r="AF11" s="43">
        <f>AG11+1</f>
        <v>16</v>
      </c>
      <c r="AG11" s="43">
        <v>15</v>
      </c>
      <c r="AH11" s="43"/>
      <c r="AI11" s="43"/>
      <c r="AJ11" s="43"/>
      <c r="AK11" s="43"/>
      <c r="AL11" s="48">
        <f>$BD$1*0.0505</f>
        <v>0.06565</v>
      </c>
      <c r="AM11" s="43">
        <v>53</v>
      </c>
      <c r="AN11" s="43" t="s">
        <v>108</v>
      </c>
      <c r="AO11" s="43">
        <v>19</v>
      </c>
      <c r="AP11" s="44">
        <v>23</v>
      </c>
      <c r="AQ11" s="43" t="s">
        <v>109</v>
      </c>
      <c r="AR11" s="1">
        <v>10</v>
      </c>
      <c r="AS11" s="1">
        <v>100</v>
      </c>
      <c r="AY11" s="43"/>
      <c r="BC11" s="49"/>
    </row>
    <row r="12" spans="1:55" ht="14.25">
      <c r="A12" s="43"/>
      <c r="B12" s="43"/>
      <c r="C12" s="51"/>
      <c r="D12" s="51"/>
      <c r="E12" s="43"/>
      <c r="F12" s="43"/>
      <c r="G12" s="47"/>
      <c r="H12" s="43"/>
      <c r="I12" s="47"/>
      <c r="J12" s="47"/>
      <c r="K12" s="47"/>
      <c r="L12" s="43"/>
      <c r="M12" s="47"/>
      <c r="N12" s="4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6"/>
      <c r="AC12" s="44"/>
      <c r="AD12" s="43"/>
      <c r="AE12" s="43"/>
      <c r="AF12" s="43"/>
      <c r="AG12" s="43"/>
      <c r="AH12" s="43"/>
      <c r="AI12" s="43"/>
      <c r="AJ12" s="43"/>
      <c r="AK12" s="43"/>
      <c r="AL12" s="48"/>
      <c r="AM12" s="43"/>
      <c r="AN12" s="43"/>
      <c r="AO12" s="43"/>
      <c r="AP12" s="43"/>
      <c r="AQ12" s="43"/>
      <c r="AY12" s="43"/>
      <c r="BC12" s="49"/>
    </row>
    <row r="13" spans="1:55" ht="14.25">
      <c r="A13" s="47">
        <v>1</v>
      </c>
      <c r="B13" s="44">
        <v>900</v>
      </c>
      <c r="C13" s="45" t="s">
        <v>113</v>
      </c>
      <c r="D13" s="45" t="s">
        <v>105</v>
      </c>
      <c r="E13" s="43" t="s">
        <v>114</v>
      </c>
      <c r="F13" s="43">
        <v>862</v>
      </c>
      <c r="G13" s="47">
        <v>1.8</v>
      </c>
      <c r="H13" s="47">
        <f>ROUND(A13*746*10000/(Q13*V13*1.732*460),1)</f>
        <v>2.1</v>
      </c>
      <c r="I13" s="47">
        <f>ROUND(A13*0.75*746*10000/(S13*W13*1.732*460),1)</f>
        <v>1.8</v>
      </c>
      <c r="J13" s="47"/>
      <c r="K13" s="47"/>
      <c r="L13" s="47">
        <v>9.75</v>
      </c>
      <c r="M13" s="47">
        <f>ROUND(A13*5250/F13,1)</f>
        <v>6.1</v>
      </c>
      <c r="N13" s="47">
        <f>ROUND(A13*5250*0.75/(B13-((B13-F13)*0.75)),1)</f>
        <v>4.5</v>
      </c>
      <c r="O13" s="44">
        <v>202</v>
      </c>
      <c r="P13" s="44">
        <v>306</v>
      </c>
      <c r="Q13" s="47">
        <v>74</v>
      </c>
      <c r="R13" s="47">
        <f>A13*746/(A13*746+(AD13*1.2))*100</f>
        <v>70.34220532319392</v>
      </c>
      <c r="S13" s="47">
        <v>76.1</v>
      </c>
      <c r="T13" s="47">
        <f>ROUND(A13*0.75*746/(A13*0.75*746+(AE13*1.2))*100,1)</f>
        <v>72.6</v>
      </c>
      <c r="U13" s="47">
        <v>71.5</v>
      </c>
      <c r="V13" s="47">
        <v>60</v>
      </c>
      <c r="W13" s="47">
        <v>51</v>
      </c>
      <c r="X13" s="47">
        <v>39.9</v>
      </c>
      <c r="Y13" s="44">
        <v>51</v>
      </c>
      <c r="Z13" s="44">
        <v>21</v>
      </c>
      <c r="AA13" s="44">
        <f>H13*13</f>
        <v>27.3</v>
      </c>
      <c r="AB13" s="46"/>
      <c r="AC13" s="44">
        <v>48</v>
      </c>
      <c r="AD13" s="43">
        <f>A13*746/(Q13/100)-A13*746</f>
        <v>262.1081081081081</v>
      </c>
      <c r="AE13" s="43">
        <f>(A13*746*0.75-(S13/100*(A13*0.75*746)))/(S13/100)</f>
        <v>175.7168199737189</v>
      </c>
      <c r="AF13" s="43"/>
      <c r="AG13" s="43"/>
      <c r="AH13" s="43"/>
      <c r="AI13" s="43">
        <v>308</v>
      </c>
      <c r="AJ13" s="43">
        <f>AI13*1</f>
        <v>308</v>
      </c>
      <c r="AK13" s="43">
        <v>31</v>
      </c>
      <c r="AL13" s="48" t="s">
        <v>107</v>
      </c>
      <c r="AM13" s="43">
        <v>82</v>
      </c>
      <c r="AN13" s="43" t="s">
        <v>108</v>
      </c>
      <c r="AO13" s="43">
        <v>40</v>
      </c>
      <c r="AP13" s="44">
        <v>52</v>
      </c>
      <c r="AQ13" s="43" t="s">
        <v>109</v>
      </c>
      <c r="AR13" s="1" t="s">
        <v>110</v>
      </c>
      <c r="AS13" s="1" t="s">
        <v>110</v>
      </c>
      <c r="AY13" s="43"/>
      <c r="BC13" s="49"/>
    </row>
    <row r="14" spans="1:55" ht="14.25">
      <c r="A14" s="47">
        <v>1</v>
      </c>
      <c r="B14" s="44">
        <v>1200</v>
      </c>
      <c r="C14" s="45" t="s">
        <v>111</v>
      </c>
      <c r="D14" s="45" t="s">
        <v>111</v>
      </c>
      <c r="E14" s="43" t="s">
        <v>106</v>
      </c>
      <c r="F14" s="43">
        <v>1152</v>
      </c>
      <c r="G14" s="47">
        <v>1.3</v>
      </c>
      <c r="H14" s="47">
        <f>ROUND(A14*746*10000/(Q14*V14*1.732*460),1)</f>
        <v>1.8</v>
      </c>
      <c r="I14" s="47">
        <f>ROUND(A14*0.75*746*10000/(S14*W14*1.732*460),1)</f>
        <v>1.6</v>
      </c>
      <c r="J14" s="47"/>
      <c r="K14" s="47"/>
      <c r="L14" s="47">
        <v>12</v>
      </c>
      <c r="M14" s="47">
        <f>ROUND(A14*5250/F14,1)</f>
        <v>4.6</v>
      </c>
      <c r="N14" s="47">
        <f>ROUND(A14*5250*0.75/(B14-((B14-F14)*0.75)),1)</f>
        <v>3.4</v>
      </c>
      <c r="O14" s="44">
        <v>285</v>
      </c>
      <c r="P14" s="44">
        <v>320</v>
      </c>
      <c r="Q14" s="47">
        <v>82.4</v>
      </c>
      <c r="R14" s="47">
        <f>A14*746/(A14*746+(AD14*1.2))*100</f>
        <v>79.59814528593509</v>
      </c>
      <c r="S14" s="47">
        <v>82</v>
      </c>
      <c r="T14" s="47">
        <f>ROUND(A14*0.75*746/(A14*0.75*746+(AE14*1.2))*100,1)</f>
        <v>79.2</v>
      </c>
      <c r="U14" s="47">
        <v>78</v>
      </c>
      <c r="V14" s="47">
        <v>63</v>
      </c>
      <c r="W14" s="47">
        <v>54.5</v>
      </c>
      <c r="X14" s="47">
        <v>40.9</v>
      </c>
      <c r="Y14" s="44">
        <v>52</v>
      </c>
      <c r="Z14" s="44">
        <v>28</v>
      </c>
      <c r="AA14" s="44">
        <f>H14*13</f>
        <v>23.400000000000002</v>
      </c>
      <c r="AB14" s="46">
        <v>0.6</v>
      </c>
      <c r="AC14" s="44">
        <v>50</v>
      </c>
      <c r="AD14" s="43">
        <f>A14*746/(Q14/100)-A14*746</f>
        <v>159.3398058252426</v>
      </c>
      <c r="AE14" s="43">
        <f>(A14*746*0.75-(S14/100*(A14*0.75*746)))/(S14/100)</f>
        <v>122.81707317073176</v>
      </c>
      <c r="AF14" s="43">
        <f>AG14+1</f>
        <v>35</v>
      </c>
      <c r="AG14" s="43">
        <v>34</v>
      </c>
      <c r="AH14" s="43">
        <v>33</v>
      </c>
      <c r="AI14" s="43">
        <v>93</v>
      </c>
      <c r="AJ14" s="43">
        <f>AI14*$BD$1</f>
        <v>120.9</v>
      </c>
      <c r="AK14" s="43">
        <v>15</v>
      </c>
      <c r="AL14" s="48">
        <f>$BD$1*0.105</f>
        <v>0.1365</v>
      </c>
      <c r="AM14" s="43">
        <v>49</v>
      </c>
      <c r="AN14" s="43" t="s">
        <v>108</v>
      </c>
      <c r="AO14" s="43">
        <v>40</v>
      </c>
      <c r="AP14" s="44">
        <v>46</v>
      </c>
      <c r="AQ14" s="43" t="s">
        <v>109</v>
      </c>
      <c r="AR14" s="1">
        <v>10</v>
      </c>
      <c r="AS14" s="1">
        <v>100</v>
      </c>
      <c r="AY14" s="43"/>
      <c r="BC14" s="49"/>
    </row>
    <row r="15" spans="1:55" ht="14.25">
      <c r="A15" s="47">
        <v>1</v>
      </c>
      <c r="B15" s="44">
        <v>1800</v>
      </c>
      <c r="C15" s="45" t="s">
        <v>111</v>
      </c>
      <c r="D15" s="45" t="s">
        <v>111</v>
      </c>
      <c r="E15" s="43" t="s">
        <v>112</v>
      </c>
      <c r="F15" s="43">
        <v>1749</v>
      </c>
      <c r="G15" s="47">
        <v>0.8</v>
      </c>
      <c r="H15" s="47">
        <f>ROUND(A15*746*10000/(Q15*V15*1.732*460),1)</f>
        <v>1.4</v>
      </c>
      <c r="I15" s="47">
        <f>ROUND(A15*0.75*746*10000/(S15*W15*1.732*460),1)</f>
        <v>1.1</v>
      </c>
      <c r="J15" s="47"/>
      <c r="K15" s="47"/>
      <c r="L15" s="47">
        <v>11</v>
      </c>
      <c r="M15" s="47">
        <f>ROUND(A15*5250/F15,1)</f>
        <v>3</v>
      </c>
      <c r="N15" s="47">
        <f>ROUND(A15*5250*0.75/(B15-((B15-F15)*0.75)),1)</f>
        <v>2.2</v>
      </c>
      <c r="O15" s="44">
        <v>336</v>
      </c>
      <c r="P15" s="44">
        <v>368</v>
      </c>
      <c r="Q15" s="47">
        <v>85.7</v>
      </c>
      <c r="R15" s="47">
        <f>A15*746/(A15*746+(AD15*1.2))*100</f>
        <v>83.31713007972002</v>
      </c>
      <c r="S15" s="47">
        <v>86.1</v>
      </c>
      <c r="T15" s="47">
        <f>ROUND(A15*0.75*746/(A15*0.75*746+(AE15*1.2))*100,1)</f>
        <v>83.8</v>
      </c>
      <c r="U15" s="47">
        <v>84.1</v>
      </c>
      <c r="V15" s="47">
        <v>79.1</v>
      </c>
      <c r="W15" s="47">
        <v>72.7</v>
      </c>
      <c r="X15" s="47">
        <v>59.8</v>
      </c>
      <c r="Y15" s="44">
        <v>36</v>
      </c>
      <c r="Z15" s="44">
        <v>24</v>
      </c>
      <c r="AA15" s="44">
        <f>H15*13</f>
        <v>18.2</v>
      </c>
      <c r="AB15" s="46">
        <v>0.5</v>
      </c>
      <c r="AC15" s="44">
        <v>46</v>
      </c>
      <c r="AD15" s="43">
        <f>A15*746/(Q15/100)-A15*746</f>
        <v>124.47841306884482</v>
      </c>
      <c r="AE15" s="43">
        <f>(A15*746*0.75-(S15/100*(A15*0.75*746)))/(S15/100)</f>
        <v>90.32578397212546</v>
      </c>
      <c r="AF15" s="43">
        <f>AG15+1</f>
        <v>31</v>
      </c>
      <c r="AG15" s="43">
        <v>30</v>
      </c>
      <c r="AH15" s="43">
        <v>38</v>
      </c>
      <c r="AI15" s="43">
        <v>37</v>
      </c>
      <c r="AJ15" s="43">
        <f>AI15*$BD$1</f>
        <v>48.1</v>
      </c>
      <c r="AK15" s="43">
        <v>5.8</v>
      </c>
      <c r="AL15" s="48">
        <f>$BD$1*0.0865</f>
        <v>0.11245000000000001</v>
      </c>
      <c r="AM15" s="43">
        <v>43</v>
      </c>
      <c r="AN15" s="43" t="s">
        <v>108</v>
      </c>
      <c r="AO15" s="43">
        <v>18</v>
      </c>
      <c r="AP15" s="44">
        <v>21</v>
      </c>
      <c r="AQ15" s="43" t="s">
        <v>109</v>
      </c>
      <c r="AR15" s="1">
        <v>10</v>
      </c>
      <c r="AS15" s="1">
        <v>100</v>
      </c>
      <c r="AY15" s="43"/>
      <c r="BC15" s="49"/>
    </row>
    <row r="16" spans="1:55" ht="14.25">
      <c r="A16" s="47">
        <v>1</v>
      </c>
      <c r="B16" s="44">
        <v>3600</v>
      </c>
      <c r="C16" s="45" t="s">
        <v>111</v>
      </c>
      <c r="D16" s="45" t="s">
        <v>111</v>
      </c>
      <c r="E16" s="43" t="s">
        <v>112</v>
      </c>
      <c r="F16" s="43">
        <v>3526</v>
      </c>
      <c r="G16" s="47">
        <v>1.1</v>
      </c>
      <c r="H16" s="47">
        <f>ROUND(A16*746*10000/(Q16*V16*1.732*460),1)</f>
        <v>1.5</v>
      </c>
      <c r="I16" s="47">
        <f>ROUND(A16*0.75*746*10000/(S16*W16*1.732*460),1)</f>
        <v>1.4</v>
      </c>
      <c r="J16" s="47"/>
      <c r="K16" s="47"/>
      <c r="L16" s="47">
        <v>20</v>
      </c>
      <c r="M16" s="47">
        <f>ROUND(A16*5250/F16,1)</f>
        <v>1.5</v>
      </c>
      <c r="N16" s="47">
        <f>ROUND(A16*5250*0.75/(B16-((B16-F16)*0.75)),1)</f>
        <v>1.1</v>
      </c>
      <c r="O16" s="44">
        <v>525</v>
      </c>
      <c r="P16" s="44">
        <v>600</v>
      </c>
      <c r="Q16" s="47">
        <v>83.3</v>
      </c>
      <c r="R16" s="47">
        <f>A16*746/(A16*746+(AD16*1.2))*100</f>
        <v>80.6077027288562</v>
      </c>
      <c r="S16" s="47">
        <v>80.5</v>
      </c>
      <c r="T16" s="47">
        <f>ROUND(A16*0.75*746/(A16*0.75*746+(AE16*1.2))*100,1)</f>
        <v>77.5</v>
      </c>
      <c r="U16" s="47">
        <v>78.8</v>
      </c>
      <c r="V16" s="47">
        <v>74.5</v>
      </c>
      <c r="W16" s="47">
        <v>63.3</v>
      </c>
      <c r="X16" s="47">
        <v>51.1</v>
      </c>
      <c r="Y16" s="44">
        <v>34</v>
      </c>
      <c r="Z16" s="44">
        <v>20</v>
      </c>
      <c r="AA16" s="44">
        <f>H16*13</f>
        <v>19.5</v>
      </c>
      <c r="AB16" s="46">
        <v>0.8</v>
      </c>
      <c r="AC16" s="44">
        <v>58</v>
      </c>
      <c r="AD16" s="43">
        <f>(A16*746-(Q16/100*(A16*746)))/(Q16/100)</f>
        <v>149.55822328931572</v>
      </c>
      <c r="AE16" s="43">
        <f>(A16*746*0.75-(S16/100*(A16*0.75*746)))/(S16/100)</f>
        <v>135.53105590062106</v>
      </c>
      <c r="AF16" s="43">
        <f>AG16+1</f>
        <v>16</v>
      </c>
      <c r="AG16" s="43">
        <v>15</v>
      </c>
      <c r="AH16" s="43">
        <v>75</v>
      </c>
      <c r="AI16" s="43"/>
      <c r="AJ16" s="43"/>
      <c r="AK16" s="43"/>
      <c r="AL16" s="48">
        <f>$BD$1*0.0505</f>
        <v>0.06565</v>
      </c>
      <c r="AM16" s="43">
        <v>53</v>
      </c>
      <c r="AN16" s="43" t="s">
        <v>108</v>
      </c>
      <c r="AO16" s="43">
        <v>23</v>
      </c>
      <c r="AP16" s="44">
        <v>29</v>
      </c>
      <c r="AQ16" s="43" t="s">
        <v>109</v>
      </c>
      <c r="AR16" s="1">
        <v>10</v>
      </c>
      <c r="AS16" s="1">
        <v>100</v>
      </c>
      <c r="AY16" s="43"/>
      <c r="BC16" s="49"/>
    </row>
    <row r="17" spans="1:55" ht="14.25">
      <c r="A17" s="47"/>
      <c r="B17" s="43"/>
      <c r="C17" s="51"/>
      <c r="D17" s="51"/>
      <c r="E17" s="43"/>
      <c r="F17" s="43"/>
      <c r="G17" s="47"/>
      <c r="H17" s="43"/>
      <c r="I17" s="47"/>
      <c r="J17" s="47"/>
      <c r="K17" s="47"/>
      <c r="L17" s="43"/>
      <c r="M17" s="47"/>
      <c r="N17" s="4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6"/>
      <c r="AD17" s="43"/>
      <c r="AE17" s="43"/>
      <c r="AF17" s="43"/>
      <c r="AG17" s="43"/>
      <c r="AH17" s="43"/>
      <c r="AI17" s="43"/>
      <c r="AJ17" s="43"/>
      <c r="AK17" s="43"/>
      <c r="AL17" s="48"/>
      <c r="AM17" s="43"/>
      <c r="AN17" s="43"/>
      <c r="AO17" s="43"/>
      <c r="AP17" s="43"/>
      <c r="AQ17" s="43"/>
      <c r="AY17" s="43"/>
      <c r="BC17" s="49"/>
    </row>
    <row r="18" spans="1:55" ht="14.25">
      <c r="A18" s="47">
        <v>1.5</v>
      </c>
      <c r="B18" s="44">
        <v>900</v>
      </c>
      <c r="C18" s="45" t="s">
        <v>113</v>
      </c>
      <c r="D18" s="45" t="s">
        <v>105</v>
      </c>
      <c r="E18" s="43" t="s">
        <v>115</v>
      </c>
      <c r="F18" s="43">
        <v>866</v>
      </c>
      <c r="G18" s="47">
        <v>2.3</v>
      </c>
      <c r="H18" s="47">
        <f>ROUND(A18*746*10000/(Q18*V18*1.732*460),1)</f>
        <v>3</v>
      </c>
      <c r="I18" s="47">
        <f>ROUND(A18*0.75*746*10000/(S18*W18*1.732*460),1)</f>
        <v>2.7</v>
      </c>
      <c r="J18" s="47"/>
      <c r="K18" s="47"/>
      <c r="L18" s="47">
        <v>15</v>
      </c>
      <c r="M18" s="47">
        <f>ROUND(A18*5250/F18,1)</f>
        <v>9.1</v>
      </c>
      <c r="N18" s="47">
        <f>ROUND(A18*5250*0.75/(B18-((B18-F18)*0.75)),1)</f>
        <v>6.8</v>
      </c>
      <c r="O18" s="44">
        <v>206</v>
      </c>
      <c r="P18" s="44">
        <v>299</v>
      </c>
      <c r="Q18" s="47">
        <v>77</v>
      </c>
      <c r="R18" s="47">
        <f>A18*746/(A18*746+(AD18*1.2))*100</f>
        <v>73.61376673040154</v>
      </c>
      <c r="S18" s="47">
        <v>76</v>
      </c>
      <c r="T18" s="47">
        <f>ROUND(A18*0.75*746/(A18*0.75*746+(AE18*1.2))*100,1)</f>
        <v>72.5</v>
      </c>
      <c r="U18" s="47">
        <v>71.4</v>
      </c>
      <c r="V18" s="47">
        <v>60.4</v>
      </c>
      <c r="W18" s="47">
        <v>51.4</v>
      </c>
      <c r="X18" s="47">
        <v>40.3</v>
      </c>
      <c r="Y18" s="44">
        <v>51</v>
      </c>
      <c r="Z18" s="44">
        <v>21</v>
      </c>
      <c r="AA18" s="44">
        <f>H18*13</f>
        <v>39</v>
      </c>
      <c r="AB18" s="46"/>
      <c r="AC18" s="44">
        <v>46</v>
      </c>
      <c r="AD18" s="43">
        <f>(A18*746-(Q18/100*(A18*746)))/(Q18/100)</f>
        <v>334.24675324675326</v>
      </c>
      <c r="AE18" s="43">
        <f>(A18*746*0.75-(S18/100*(A18*0.75*746)))/(S18/100)</f>
        <v>265.02631578947364</v>
      </c>
      <c r="AF18" s="43"/>
      <c r="AG18" s="43"/>
      <c r="AH18" s="43"/>
      <c r="AI18" s="43">
        <v>340</v>
      </c>
      <c r="AJ18" s="43">
        <f>AI18*1</f>
        <v>340</v>
      </c>
      <c r="AK18" s="43">
        <v>45</v>
      </c>
      <c r="AL18" s="48" t="s">
        <v>107</v>
      </c>
      <c r="AM18" s="43">
        <v>90</v>
      </c>
      <c r="AN18" s="43" t="s">
        <v>108</v>
      </c>
      <c r="AO18" s="43">
        <v>40</v>
      </c>
      <c r="AP18" s="44">
        <v>52</v>
      </c>
      <c r="AQ18" s="43" t="s">
        <v>109</v>
      </c>
      <c r="AR18" s="1" t="s">
        <v>110</v>
      </c>
      <c r="AS18" s="1" t="s">
        <v>110</v>
      </c>
      <c r="AY18" s="43"/>
      <c r="BC18" s="49"/>
    </row>
    <row r="19" spans="1:55" ht="14.25">
      <c r="A19" s="47">
        <v>1.5</v>
      </c>
      <c r="B19" s="44">
        <v>1200</v>
      </c>
      <c r="C19" s="45" t="s">
        <v>116</v>
      </c>
      <c r="D19" s="45" t="s">
        <v>116</v>
      </c>
      <c r="E19" s="43" t="s">
        <v>114</v>
      </c>
      <c r="F19" s="43">
        <v>1168</v>
      </c>
      <c r="G19" s="47">
        <v>1.5</v>
      </c>
      <c r="H19" s="47">
        <f>ROUND(A19*746*10000/(Q19*V19*1.732*460),1)</f>
        <v>2.4</v>
      </c>
      <c r="I19" s="47">
        <f>ROUND(A19*0.75*746*10000/(S19*W19*1.732*460),1)</f>
        <v>2</v>
      </c>
      <c r="J19" s="47"/>
      <c r="K19" s="47"/>
      <c r="L19" s="47">
        <v>20</v>
      </c>
      <c r="M19" s="47">
        <f>ROUND(A19*5250/F19,1)</f>
        <v>6.7</v>
      </c>
      <c r="N19" s="47">
        <f>ROUND(A19*5250*0.75/(B19-((B19-F19)*0.75)),1)</f>
        <v>5</v>
      </c>
      <c r="O19" s="44">
        <v>266</v>
      </c>
      <c r="P19" s="44">
        <v>398</v>
      </c>
      <c r="Q19" s="47">
        <v>86.4</v>
      </c>
      <c r="R19" s="47">
        <f>A19*746/(A19*746+(AD19*1.2))*100</f>
        <v>84.1121495327103</v>
      </c>
      <c r="S19" s="47">
        <v>86.1</v>
      </c>
      <c r="T19" s="47">
        <f>ROUND(A19*0.75*746/(A19*0.75*746+(AE19*1.2))*100,1)</f>
        <v>83.8</v>
      </c>
      <c r="U19" s="47">
        <v>84.1</v>
      </c>
      <c r="V19" s="47">
        <v>68.2</v>
      </c>
      <c r="W19" s="47">
        <v>60.3</v>
      </c>
      <c r="X19" s="47">
        <v>46.9</v>
      </c>
      <c r="Y19" s="44">
        <v>50</v>
      </c>
      <c r="Z19" s="44">
        <v>26</v>
      </c>
      <c r="AA19" s="44">
        <f>H19*13</f>
        <v>31.2</v>
      </c>
      <c r="AB19" s="46">
        <v>1.2</v>
      </c>
      <c r="AC19" s="44">
        <v>49</v>
      </c>
      <c r="AD19" s="43">
        <f>(A19*746-(Q19/100*(A19*746)))/(Q19/100)</f>
        <v>176.1388888888887</v>
      </c>
      <c r="AE19" s="43">
        <f>(A19*746*0.75-(S19/100*(A19*0.75*746)))/(S19/100)</f>
        <v>135.48867595818817</v>
      </c>
      <c r="AF19" s="43">
        <f>AG19+1</f>
        <v>30</v>
      </c>
      <c r="AG19" s="43">
        <v>29</v>
      </c>
      <c r="AH19" s="43">
        <v>34</v>
      </c>
      <c r="AI19" s="43">
        <v>149</v>
      </c>
      <c r="AJ19" s="44">
        <f>AI19*$BD$1</f>
        <v>193.70000000000002</v>
      </c>
      <c r="AK19" s="43">
        <v>23</v>
      </c>
      <c r="AL19" s="48">
        <f>$BD$1*0.224</f>
        <v>0.2912</v>
      </c>
      <c r="AM19" s="43">
        <v>77</v>
      </c>
      <c r="AN19" s="43" t="s">
        <v>108</v>
      </c>
      <c r="AO19" s="43">
        <v>25</v>
      </c>
      <c r="AP19" s="44">
        <v>41</v>
      </c>
      <c r="AQ19" s="43" t="s">
        <v>109</v>
      </c>
      <c r="AR19" s="1">
        <v>10</v>
      </c>
      <c r="AS19" s="1">
        <v>100</v>
      </c>
      <c r="AY19" s="43"/>
      <c r="BC19" s="49"/>
    </row>
    <row r="20" spans="1:55" ht="14.25">
      <c r="A20" s="47">
        <v>1.5</v>
      </c>
      <c r="B20" s="44">
        <v>1800</v>
      </c>
      <c r="C20" s="45" t="s">
        <v>111</v>
      </c>
      <c r="D20" s="45" t="s">
        <v>111</v>
      </c>
      <c r="E20" s="43" t="s">
        <v>106</v>
      </c>
      <c r="F20" s="43">
        <v>1740</v>
      </c>
      <c r="G20" s="47">
        <v>1.1</v>
      </c>
      <c r="H20" s="47">
        <f>ROUND(A20*746*10000/(Q20*V20*1.732*460),1)</f>
        <v>2.1</v>
      </c>
      <c r="I20" s="47">
        <f>ROUND(A20*0.75*746*10000/(S20*W20*1.732*460),1)</f>
        <v>1.7</v>
      </c>
      <c r="J20" s="47"/>
      <c r="K20" s="47"/>
      <c r="L20" s="47">
        <v>20</v>
      </c>
      <c r="M20" s="47">
        <f>ROUND(A20*5250/F20,1)</f>
        <v>4.5</v>
      </c>
      <c r="N20" s="47">
        <f>ROUND(A20*5250*0.75/(B20-((B20-F20)*0.75)),1)</f>
        <v>3.4</v>
      </c>
      <c r="O20" s="44">
        <v>385</v>
      </c>
      <c r="P20" s="44">
        <v>370</v>
      </c>
      <c r="Q20" s="47">
        <v>86.9</v>
      </c>
      <c r="R20" s="47">
        <f>A20*746/(A20*746+(AD20*1.2))*100</f>
        <v>84.6813486649776</v>
      </c>
      <c r="S20" s="47">
        <v>87.1</v>
      </c>
      <c r="T20" s="47">
        <f>ROUND(A20*0.75*746/(A20*0.75*746+(AE20*1.2))*100,1)</f>
        <v>84.9</v>
      </c>
      <c r="U20" s="47">
        <v>85.7</v>
      </c>
      <c r="V20" s="47">
        <v>78.7</v>
      </c>
      <c r="W20" s="47">
        <v>71.1</v>
      </c>
      <c r="X20" s="47">
        <v>59.2</v>
      </c>
      <c r="Y20" s="44">
        <v>34</v>
      </c>
      <c r="Z20" s="44">
        <v>22</v>
      </c>
      <c r="AA20" s="44">
        <f>H20*13</f>
        <v>27.3</v>
      </c>
      <c r="AB20" s="46">
        <v>0.8</v>
      </c>
      <c r="AC20" s="44">
        <v>46</v>
      </c>
      <c r="AD20" s="43">
        <f>(A20*746-(Q20/100*(A20*746)))/(Q20/100)</f>
        <v>168.68699654775583</v>
      </c>
      <c r="AE20" s="43">
        <f>(A20*746*0.75-(S20/100*(A20*0.75*746)))/(S20/100)</f>
        <v>124.29764638346725</v>
      </c>
      <c r="AF20" s="43">
        <f>AG20+1</f>
        <v>27</v>
      </c>
      <c r="AG20" s="43">
        <v>26</v>
      </c>
      <c r="AH20" s="43">
        <v>38</v>
      </c>
      <c r="AI20" s="43">
        <v>47</v>
      </c>
      <c r="AJ20" s="44">
        <f>AI20*$BD$1</f>
        <v>61.1</v>
      </c>
      <c r="AK20" s="43">
        <v>8.6</v>
      </c>
      <c r="AL20" s="48">
        <f>$BD$1*0.115</f>
        <v>0.14950000000000002</v>
      </c>
      <c r="AM20" s="43">
        <v>49</v>
      </c>
      <c r="AN20" s="43" t="s">
        <v>108</v>
      </c>
      <c r="AO20" s="43">
        <v>37</v>
      </c>
      <c r="AP20" s="44">
        <v>46</v>
      </c>
      <c r="AQ20" s="43" t="s">
        <v>109</v>
      </c>
      <c r="AR20" s="1">
        <v>10</v>
      </c>
      <c r="AS20" s="1">
        <v>100</v>
      </c>
      <c r="AY20" s="43"/>
      <c r="BC20" s="49"/>
    </row>
    <row r="21" spans="1:55" ht="14.25">
      <c r="A21" s="47">
        <v>1.5</v>
      </c>
      <c r="B21" s="44">
        <v>3600</v>
      </c>
      <c r="C21" s="45" t="s">
        <v>111</v>
      </c>
      <c r="D21" s="45" t="s">
        <v>111</v>
      </c>
      <c r="E21" s="43" t="s">
        <v>112</v>
      </c>
      <c r="F21" s="43">
        <v>3489</v>
      </c>
      <c r="G21" s="47">
        <v>1.1</v>
      </c>
      <c r="H21" s="47">
        <f>ROUND(A21*746*10000/(Q21*V21*1.732*460),1)</f>
        <v>2</v>
      </c>
      <c r="I21" s="47">
        <f>ROUND(A21*0.75*746*10000/(S21*W21*1.732*460),1)</f>
        <v>1.7</v>
      </c>
      <c r="J21" s="47"/>
      <c r="K21" s="47"/>
      <c r="L21" s="47">
        <v>20</v>
      </c>
      <c r="M21" s="47">
        <f>ROUND(A21*5250/F21,1)</f>
        <v>2.3</v>
      </c>
      <c r="N21" s="47">
        <f>ROUND(A21*5250*0.75/(B21-((B21-F21)*0.75)),1)</f>
        <v>1.7</v>
      </c>
      <c r="O21" s="44">
        <v>350</v>
      </c>
      <c r="P21" s="44">
        <v>400</v>
      </c>
      <c r="Q21" s="47">
        <v>85.4</v>
      </c>
      <c r="R21" s="47">
        <f>A21*746/(A21*746+(AD21*1.2))*100</f>
        <v>82.97706956859699</v>
      </c>
      <c r="S21" s="47">
        <v>84.9</v>
      </c>
      <c r="T21" s="47">
        <f>ROUND(A21*0.75*746/(A21*0.75*746+(AE21*1.2))*100,1)</f>
        <v>82.4</v>
      </c>
      <c r="U21" s="47">
        <v>82.4</v>
      </c>
      <c r="V21" s="47">
        <v>81.9</v>
      </c>
      <c r="W21" s="47">
        <v>75.1</v>
      </c>
      <c r="X21" s="47">
        <v>63.2</v>
      </c>
      <c r="Y21" s="44">
        <v>34</v>
      </c>
      <c r="Z21" s="44">
        <v>20</v>
      </c>
      <c r="AA21" s="44">
        <f>H21*13</f>
        <v>26</v>
      </c>
      <c r="AB21" s="46">
        <v>0.8</v>
      </c>
      <c r="AC21" s="43">
        <v>57</v>
      </c>
      <c r="AD21" s="43">
        <f>(A21*746-(Q21/100*(A21*746)))/(Q21/100)</f>
        <v>191.30444964871182</v>
      </c>
      <c r="AE21" s="43">
        <f>(A21*746*0.75-(S21/100*(A21*0.75*746)))/(S21/100)</f>
        <v>149.26590106007058</v>
      </c>
      <c r="AF21" s="43">
        <f>AG21+1</f>
        <v>13</v>
      </c>
      <c r="AG21" s="43">
        <v>12</v>
      </c>
      <c r="AH21" s="43">
        <v>76</v>
      </c>
      <c r="AI21" s="43">
        <v>9.3</v>
      </c>
      <c r="AJ21" s="47">
        <f>AI21*$BD$1</f>
        <v>12.090000000000002</v>
      </c>
      <c r="AK21" s="43">
        <v>1.8</v>
      </c>
      <c r="AL21" s="48">
        <f>$BD$1*0.0505</f>
        <v>0.06565</v>
      </c>
      <c r="AM21" s="43">
        <v>53</v>
      </c>
      <c r="AN21" s="43" t="s">
        <v>108</v>
      </c>
      <c r="AO21" s="43">
        <v>28</v>
      </c>
      <c r="AP21" s="44">
        <v>35</v>
      </c>
      <c r="AQ21" s="43" t="s">
        <v>109</v>
      </c>
      <c r="AR21" s="1">
        <v>10</v>
      </c>
      <c r="AS21" s="1">
        <v>100</v>
      </c>
      <c r="AY21" s="43"/>
      <c r="BC21" s="49"/>
    </row>
    <row r="22" spans="1:55" ht="14.25">
      <c r="A22" s="47"/>
      <c r="B22" s="43"/>
      <c r="C22" s="51"/>
      <c r="D22" s="51"/>
      <c r="E22" s="43"/>
      <c r="F22" s="43"/>
      <c r="G22" s="47"/>
      <c r="H22" s="43"/>
      <c r="I22" s="47"/>
      <c r="J22" s="47"/>
      <c r="K22" s="47"/>
      <c r="L22" s="43"/>
      <c r="M22" s="47"/>
      <c r="N22" s="4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6"/>
      <c r="AC22" s="44"/>
      <c r="AD22" s="43"/>
      <c r="AE22" s="43"/>
      <c r="AF22" s="43"/>
      <c r="AG22" s="43"/>
      <c r="AH22" s="43"/>
      <c r="AI22" s="43"/>
      <c r="AJ22" s="43"/>
      <c r="AK22" s="43"/>
      <c r="AL22" s="48"/>
      <c r="AM22" s="43"/>
      <c r="AN22" s="43"/>
      <c r="AO22" s="43"/>
      <c r="AP22" s="43"/>
      <c r="AQ22" s="43"/>
      <c r="AY22" s="43"/>
      <c r="BC22" s="49"/>
    </row>
    <row r="23" spans="1:55" ht="14.25">
      <c r="A23" s="47">
        <v>2</v>
      </c>
      <c r="B23" s="44">
        <v>900</v>
      </c>
      <c r="C23" s="45" t="s">
        <v>117</v>
      </c>
      <c r="D23" s="45" t="s">
        <v>118</v>
      </c>
      <c r="E23" s="43" t="s">
        <v>119</v>
      </c>
      <c r="F23" s="43">
        <v>863</v>
      </c>
      <c r="G23" s="47">
        <v>2.3</v>
      </c>
      <c r="H23" s="47">
        <f>ROUND(A23*746*10000/(Q23*V23*1.732*460),1)</f>
        <v>3.5</v>
      </c>
      <c r="I23" s="47">
        <f>ROUND(A23*0.75*746*10000/(S23*W23*1.732*460),1)</f>
        <v>3</v>
      </c>
      <c r="J23" s="47"/>
      <c r="K23" s="47"/>
      <c r="L23" s="47">
        <v>16.1</v>
      </c>
      <c r="M23" s="47">
        <f>ROUND(A23*5250/F23,1)</f>
        <v>12.2</v>
      </c>
      <c r="N23" s="47">
        <f>ROUND(A23*5250*0.75/(B23-((B23-F23)*0.75)),1)</f>
        <v>9</v>
      </c>
      <c r="O23" s="44">
        <v>165</v>
      </c>
      <c r="P23" s="44">
        <v>257</v>
      </c>
      <c r="Q23" s="47">
        <v>80</v>
      </c>
      <c r="R23" s="47">
        <f>A23*746/(A23*746+(AD23*1.2))*100</f>
        <v>76.92307692307693</v>
      </c>
      <c r="S23" s="47">
        <v>80.2</v>
      </c>
      <c r="T23" s="47">
        <f>ROUND(A23*0.75*746/(A23*0.75*746+(AE23*1.2))*100,1)</f>
        <v>77.1</v>
      </c>
      <c r="U23" s="47">
        <v>77.4</v>
      </c>
      <c r="V23" s="47">
        <v>67.4</v>
      </c>
      <c r="W23" s="47">
        <v>59.2</v>
      </c>
      <c r="X23" s="47">
        <v>46.6</v>
      </c>
      <c r="Y23" s="44">
        <v>46</v>
      </c>
      <c r="Z23" s="44">
        <v>19</v>
      </c>
      <c r="AA23" s="44">
        <f>H23*13</f>
        <v>45.5</v>
      </c>
      <c r="AB23" s="46"/>
      <c r="AC23" s="44">
        <v>48</v>
      </c>
      <c r="AD23" s="43">
        <f>(A23*746-(Q23/100*(A23*746)))/(Q23/100)</f>
        <v>372.99999999999983</v>
      </c>
      <c r="AE23" s="43">
        <f>(A23*746*0.75-(S23/100*(A23*0.75*746)))/(S23/100)</f>
        <v>276.26184538653354</v>
      </c>
      <c r="AF23" s="43"/>
      <c r="AG23" s="43"/>
      <c r="AH23" s="43"/>
      <c r="AI23" s="43">
        <v>455</v>
      </c>
      <c r="AJ23" s="44">
        <f>AI23*1</f>
        <v>455</v>
      </c>
      <c r="AK23" s="43">
        <v>60</v>
      </c>
      <c r="AL23" s="48" t="s">
        <v>107</v>
      </c>
      <c r="AM23" s="43">
        <v>137</v>
      </c>
      <c r="AN23" s="43" t="s">
        <v>108</v>
      </c>
      <c r="AO23" s="43">
        <v>45</v>
      </c>
      <c r="AP23" s="44">
        <v>57</v>
      </c>
      <c r="AQ23" s="43" t="s">
        <v>109</v>
      </c>
      <c r="AR23" s="1" t="s">
        <v>110</v>
      </c>
      <c r="AS23" s="1" t="s">
        <v>110</v>
      </c>
      <c r="AY23" s="43"/>
      <c r="BC23" s="49"/>
    </row>
    <row r="24" spans="1:55" ht="14.25">
      <c r="A24" s="47">
        <v>2</v>
      </c>
      <c r="B24" s="44">
        <v>1200</v>
      </c>
      <c r="C24" s="45" t="s">
        <v>116</v>
      </c>
      <c r="D24" s="45" t="s">
        <v>116</v>
      </c>
      <c r="E24" s="43" t="s">
        <v>115</v>
      </c>
      <c r="F24" s="43">
        <v>1172</v>
      </c>
      <c r="G24" s="47">
        <v>2</v>
      </c>
      <c r="H24" s="47">
        <f>ROUND(A24*746*10000/(Q24*V24*1.732*460),1)</f>
        <v>3.2</v>
      </c>
      <c r="I24" s="47">
        <f>ROUND(A24*0.75*746*10000/(S24*W24*1.732*460),1)</f>
        <v>2.8</v>
      </c>
      <c r="J24" s="47"/>
      <c r="K24" s="47"/>
      <c r="L24" s="47">
        <v>25</v>
      </c>
      <c r="M24" s="47">
        <f>ROUND(A24*5250/F24,1)</f>
        <v>9</v>
      </c>
      <c r="N24" s="47">
        <f>ROUND(A24*5250*0.75/(B24-((B24-F24)*0.75)),1)</f>
        <v>6.7</v>
      </c>
      <c r="O24" s="44">
        <v>280</v>
      </c>
      <c r="P24" s="44">
        <v>376</v>
      </c>
      <c r="Q24" s="47">
        <v>88.4</v>
      </c>
      <c r="R24" s="47">
        <f>A24*746/(A24*746+(AD24*1.2))*100</f>
        <v>86.39562157935889</v>
      </c>
      <c r="S24" s="43">
        <v>87.7</v>
      </c>
      <c r="T24" s="47">
        <f>ROUND(A24*0.75*746/(A24*0.75*746+(AE24*1.2))*100,1)</f>
        <v>85.6</v>
      </c>
      <c r="U24" s="43">
        <v>85.3</v>
      </c>
      <c r="V24" s="47">
        <v>66.7</v>
      </c>
      <c r="W24" s="47">
        <v>58.1</v>
      </c>
      <c r="X24" s="47">
        <v>45.6</v>
      </c>
      <c r="Y24" s="44">
        <v>50</v>
      </c>
      <c r="Z24" s="44">
        <v>24</v>
      </c>
      <c r="AA24" s="44">
        <f>H24*13</f>
        <v>41.6</v>
      </c>
      <c r="AB24" s="46">
        <v>1.6</v>
      </c>
      <c r="AC24" s="44">
        <v>50</v>
      </c>
      <c r="AD24" s="43">
        <f>(A24*746-(Q24/100*(A24*746)))/(Q24/100)</f>
        <v>195.7828054298641</v>
      </c>
      <c r="AE24" s="43">
        <f>(A24*746*0.75-(S24/100*(A24*0.75*746)))/(S24/100)</f>
        <v>156.94070695553015</v>
      </c>
      <c r="AF24" s="43">
        <f>AG24+1</f>
        <v>27</v>
      </c>
      <c r="AG24" s="43">
        <v>26</v>
      </c>
      <c r="AH24" s="43">
        <v>35</v>
      </c>
      <c r="AI24" s="43">
        <v>167</v>
      </c>
      <c r="AJ24" s="44">
        <f>AI24*$BD$1</f>
        <v>217.1</v>
      </c>
      <c r="AK24" s="43">
        <v>30</v>
      </c>
      <c r="AL24" s="48">
        <f>$BD$1*0.272</f>
        <v>0.3536</v>
      </c>
      <c r="AM24" s="43">
        <v>86</v>
      </c>
      <c r="AN24" s="43" t="s">
        <v>108</v>
      </c>
      <c r="AO24" s="43">
        <v>23</v>
      </c>
      <c r="AP24" s="44">
        <v>31</v>
      </c>
      <c r="AQ24" s="43" t="s">
        <v>109</v>
      </c>
      <c r="AR24" s="1">
        <v>10</v>
      </c>
      <c r="AS24" s="1">
        <v>100</v>
      </c>
      <c r="AY24" s="43"/>
      <c r="BC24" s="49"/>
    </row>
    <row r="25" spans="1:55" ht="14.25">
      <c r="A25" s="47">
        <v>2</v>
      </c>
      <c r="B25" s="44">
        <v>1800</v>
      </c>
      <c r="C25" s="45" t="s">
        <v>111</v>
      </c>
      <c r="D25" s="45" t="s">
        <v>111</v>
      </c>
      <c r="E25" s="43" t="s">
        <v>106</v>
      </c>
      <c r="F25" s="43">
        <v>1733</v>
      </c>
      <c r="G25" s="47">
        <v>1.4</v>
      </c>
      <c r="H25" s="47">
        <f>ROUND(A25*746*10000/(Q25*V25*1.732*460),1)</f>
        <v>2.7</v>
      </c>
      <c r="I25" s="47">
        <f>ROUND(A25*0.75*746*10000/(S25*W25*1.732*460),1)</f>
        <v>2.2</v>
      </c>
      <c r="J25" s="47"/>
      <c r="K25" s="47"/>
      <c r="L25" s="47">
        <v>25</v>
      </c>
      <c r="M25" s="47">
        <f>ROUND(A25*5250/F25,1)</f>
        <v>6.1</v>
      </c>
      <c r="N25" s="47">
        <f>ROUND(A25*5250*0.75/(B25-((B25-F25)*0.75)),1)</f>
        <v>4.5</v>
      </c>
      <c r="O25" s="44">
        <v>380</v>
      </c>
      <c r="P25" s="44">
        <v>340</v>
      </c>
      <c r="Q25" s="47">
        <v>86.8</v>
      </c>
      <c r="R25" s="47">
        <f>A25*746/(A25*746+(AD25*1.2))*100</f>
        <v>84.56742010911925</v>
      </c>
      <c r="S25" s="47">
        <v>87.3</v>
      </c>
      <c r="T25" s="47">
        <f>ROUND(A25*0.75*746/(A25*0.75*746+(AE25*1.2))*100,1)</f>
        <v>85.1</v>
      </c>
      <c r="U25" s="47">
        <v>86.2</v>
      </c>
      <c r="V25" s="47">
        <v>80.4</v>
      </c>
      <c r="W25" s="47">
        <v>73.3</v>
      </c>
      <c r="X25" s="47">
        <v>61.6</v>
      </c>
      <c r="Y25" s="44">
        <v>34</v>
      </c>
      <c r="Z25" s="44">
        <v>20</v>
      </c>
      <c r="AA25" s="44">
        <f>H25*13</f>
        <v>35.1</v>
      </c>
      <c r="AB25" s="46">
        <v>1.1</v>
      </c>
      <c r="AC25" s="44">
        <v>52</v>
      </c>
      <c r="AD25" s="43">
        <f>(A25*746-(Q25/100*(A25*746)))/(Q25/100)</f>
        <v>226.8940092165898</v>
      </c>
      <c r="AE25" s="43">
        <f>(A25*746*0.75-(S25/100*(A25*0.75*746)))/(S25/100)</f>
        <v>162.7869415807561</v>
      </c>
      <c r="AF25" s="43">
        <f>AG25+1</f>
        <v>24</v>
      </c>
      <c r="AG25" s="43">
        <v>23</v>
      </c>
      <c r="AH25" s="43">
        <v>39</v>
      </c>
      <c r="AI25" s="43">
        <v>56</v>
      </c>
      <c r="AJ25" s="43">
        <f>AI25*$BD$1</f>
        <v>72.8</v>
      </c>
      <c r="AK25" s="43">
        <v>11</v>
      </c>
      <c r="AL25" s="48">
        <f>$BD$1*0.133</f>
        <v>0.17290000000000003</v>
      </c>
      <c r="AM25" s="43">
        <v>54</v>
      </c>
      <c r="AN25" s="43" t="s">
        <v>108</v>
      </c>
      <c r="AO25" s="43">
        <v>34</v>
      </c>
      <c r="AP25" s="44">
        <v>38</v>
      </c>
      <c r="AQ25" s="43" t="s">
        <v>109</v>
      </c>
      <c r="AR25" s="1">
        <v>10</v>
      </c>
      <c r="AS25" s="1">
        <v>100</v>
      </c>
      <c r="AY25" s="43"/>
      <c r="BC25" s="49"/>
    </row>
    <row r="26" spans="1:55" ht="14.25">
      <c r="A26" s="47">
        <v>2</v>
      </c>
      <c r="B26" s="44">
        <v>3600</v>
      </c>
      <c r="C26" s="45" t="s">
        <v>111</v>
      </c>
      <c r="D26" s="45" t="s">
        <v>111</v>
      </c>
      <c r="E26" s="43" t="s">
        <v>106</v>
      </c>
      <c r="F26" s="43">
        <v>3499</v>
      </c>
      <c r="G26" s="47">
        <v>1.3</v>
      </c>
      <c r="H26" s="47">
        <f>ROUND(A26*746*10000/(Q26*V26*1.732*460),1)</f>
        <v>2.6</v>
      </c>
      <c r="I26" s="47">
        <f>ROUND(A26*0.75*746*10000/(S26*W26*1.732*460),1)</f>
        <v>2.1</v>
      </c>
      <c r="J26" s="47"/>
      <c r="K26" s="47"/>
      <c r="L26" s="47">
        <v>25</v>
      </c>
      <c r="M26" s="47">
        <f>ROUND(A26*5250/F26,1)</f>
        <v>3</v>
      </c>
      <c r="N26" s="47">
        <f>ROUND(A26*5250*0.75/(B26-((B26-F26)*0.75)),1)</f>
        <v>2.2</v>
      </c>
      <c r="O26" s="44">
        <v>350</v>
      </c>
      <c r="P26" s="44">
        <v>400</v>
      </c>
      <c r="Q26" s="47">
        <v>86.4</v>
      </c>
      <c r="R26" s="47">
        <f>A26*746/(A26*746+(AD26*1.2))*100</f>
        <v>84.1121495327103</v>
      </c>
      <c r="S26" s="47">
        <v>86.3</v>
      </c>
      <c r="T26" s="47">
        <f>ROUND(A26*0.75*746/(A26*0.75*746+(AE26*1.2))*100,1)</f>
        <v>84</v>
      </c>
      <c r="U26" s="47">
        <v>84.4</v>
      </c>
      <c r="V26" s="47">
        <v>84.1</v>
      </c>
      <c r="W26" s="47">
        <v>77.7</v>
      </c>
      <c r="X26" s="47">
        <v>65.8</v>
      </c>
      <c r="Y26" s="44">
        <v>31</v>
      </c>
      <c r="Z26" s="44">
        <v>18</v>
      </c>
      <c r="AA26" s="44">
        <f>H26*13</f>
        <v>33.800000000000004</v>
      </c>
      <c r="AB26" s="46">
        <v>1</v>
      </c>
      <c r="AC26" s="43">
        <v>58</v>
      </c>
      <c r="AD26" s="43">
        <f>(A26*746-(Q26/100*(A26*746)))/(Q26/100)</f>
        <v>234.8518518518516</v>
      </c>
      <c r="AE26" s="43">
        <f>(A26*746*0.75-(S26/100*(A26*0.75*746)))/(S26/100)</f>
        <v>177.6396292004635</v>
      </c>
      <c r="AF26" s="43">
        <f>AG26+1</f>
        <v>13</v>
      </c>
      <c r="AG26" s="43">
        <v>12</v>
      </c>
      <c r="AH26" s="43">
        <v>77</v>
      </c>
      <c r="AI26" s="43">
        <v>10.6</v>
      </c>
      <c r="AJ26" s="47">
        <f>AI26*$BD$1</f>
        <v>13.78</v>
      </c>
      <c r="AK26" s="43">
        <v>2.4</v>
      </c>
      <c r="AL26" s="48">
        <f>$BD$1*0.0595</f>
        <v>0.07735</v>
      </c>
      <c r="AM26" s="43">
        <v>53</v>
      </c>
      <c r="AN26" s="43" t="s">
        <v>108</v>
      </c>
      <c r="AO26" s="43">
        <v>33</v>
      </c>
      <c r="AP26" s="44">
        <v>39</v>
      </c>
      <c r="AQ26" s="43" t="s">
        <v>109</v>
      </c>
      <c r="AR26" s="1">
        <v>10</v>
      </c>
      <c r="AS26" s="1">
        <v>100</v>
      </c>
      <c r="AY26" s="43"/>
      <c r="BC26" s="49"/>
    </row>
    <row r="27" spans="1:55" ht="14.25">
      <c r="A27" s="47"/>
      <c r="B27" s="43"/>
      <c r="C27" s="51"/>
      <c r="D27" s="51"/>
      <c r="E27" s="43"/>
      <c r="F27" s="43"/>
      <c r="G27" s="47"/>
      <c r="H27" s="43"/>
      <c r="I27" s="47"/>
      <c r="J27" s="47"/>
      <c r="K27" s="47"/>
      <c r="L27" s="43"/>
      <c r="M27" s="47"/>
      <c r="N27" s="4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6"/>
      <c r="AD27" s="43"/>
      <c r="AE27" s="43"/>
      <c r="AF27" s="43"/>
      <c r="AG27" s="43"/>
      <c r="AH27" s="43"/>
      <c r="AI27" s="43"/>
      <c r="AJ27" s="43"/>
      <c r="AK27" s="43"/>
      <c r="AL27" s="48"/>
      <c r="AM27" s="43"/>
      <c r="AN27" s="43"/>
      <c r="AO27" s="43"/>
      <c r="AP27" s="43"/>
      <c r="AQ27" s="43"/>
      <c r="AY27" s="43"/>
      <c r="BC27" s="49"/>
    </row>
    <row r="28" spans="1:55" ht="14.25">
      <c r="A28" s="47">
        <v>3</v>
      </c>
      <c r="B28" s="44">
        <v>900</v>
      </c>
      <c r="C28" s="45" t="s">
        <v>117</v>
      </c>
      <c r="D28" s="45" t="s">
        <v>118</v>
      </c>
      <c r="E28" s="43" t="s">
        <v>120</v>
      </c>
      <c r="F28" s="43">
        <v>864</v>
      </c>
      <c r="G28" s="47">
        <v>3.5</v>
      </c>
      <c r="H28" s="47">
        <f>ROUND(A28*746*10000/(Q28*V28*1.732*460),1)</f>
        <v>5.2</v>
      </c>
      <c r="I28" s="47">
        <f>ROUND(A28*0.75*746*10000/(S28*W28*1.732*460),1)</f>
        <v>4.4</v>
      </c>
      <c r="J28" s="47"/>
      <c r="K28" s="47"/>
      <c r="L28" s="47">
        <v>26</v>
      </c>
      <c r="M28" s="47">
        <f>ROUND(A28*5250/F28,1)</f>
        <v>18.2</v>
      </c>
      <c r="N28" s="47">
        <f>ROUND(A28*5250*0.75/(B28-((B28-F28)*0.75)),1)</f>
        <v>13.5</v>
      </c>
      <c r="O28" s="44">
        <v>200</v>
      </c>
      <c r="P28" s="44">
        <v>265</v>
      </c>
      <c r="Q28" s="47">
        <v>82.5</v>
      </c>
      <c r="R28" s="47">
        <f>A28*746/(A28*746+(AD28*1.2))*100</f>
        <v>79.71014492753622</v>
      </c>
      <c r="S28" s="47">
        <v>82</v>
      </c>
      <c r="T28" s="47">
        <f>ROUND(A28*0.75*746/(A28*0.75*746+(AE28*1.2))*100,1)</f>
        <v>79.2</v>
      </c>
      <c r="U28" s="47">
        <v>79.2</v>
      </c>
      <c r="V28" s="47">
        <v>65.6</v>
      </c>
      <c r="W28" s="47">
        <v>58.6</v>
      </c>
      <c r="X28" s="47">
        <v>46.7</v>
      </c>
      <c r="Y28" s="44">
        <v>41</v>
      </c>
      <c r="Z28" s="44">
        <v>15</v>
      </c>
      <c r="AA28" s="44">
        <f>H28*13</f>
        <v>67.60000000000001</v>
      </c>
      <c r="AB28" s="46"/>
      <c r="AC28" s="44">
        <v>49</v>
      </c>
      <c r="AD28" s="43">
        <f>(A28*746-(Q28/100*(A28*746)))/(Q28/100)</f>
        <v>474.72727272727286</v>
      </c>
      <c r="AE28" s="43">
        <f>(A28*746*0.75-(S28/100*(A28*0.75*746)))/(S28/100)</f>
        <v>368.4512195121953</v>
      </c>
      <c r="AF28" s="43"/>
      <c r="AG28" s="43"/>
      <c r="AH28" s="43"/>
      <c r="AI28" s="43">
        <v>553</v>
      </c>
      <c r="AJ28" s="43">
        <f>AI28*1</f>
        <v>553</v>
      </c>
      <c r="AK28" s="43">
        <v>87</v>
      </c>
      <c r="AL28" s="48" t="s">
        <v>107</v>
      </c>
      <c r="AM28" s="43">
        <v>161</v>
      </c>
      <c r="AN28" s="43" t="s">
        <v>108</v>
      </c>
      <c r="AO28" s="43">
        <v>53</v>
      </c>
      <c r="AP28" s="44">
        <v>65</v>
      </c>
      <c r="AQ28" s="43" t="s">
        <v>109</v>
      </c>
      <c r="AR28" s="1" t="s">
        <v>110</v>
      </c>
      <c r="AS28" s="1" t="s">
        <v>110</v>
      </c>
      <c r="AY28" s="43"/>
      <c r="BC28" s="49"/>
    </row>
    <row r="29" spans="1:55" ht="14.25">
      <c r="A29" s="47">
        <v>3</v>
      </c>
      <c r="B29" s="44">
        <v>1200</v>
      </c>
      <c r="C29" s="45" t="s">
        <v>121</v>
      </c>
      <c r="D29" s="45" t="s">
        <v>121</v>
      </c>
      <c r="E29" s="43" t="s">
        <v>119</v>
      </c>
      <c r="F29" s="43">
        <v>1167</v>
      </c>
      <c r="G29" s="47">
        <v>2.1</v>
      </c>
      <c r="H29" s="47">
        <f>ROUND(A29*746*10000/(Q29*V29*1.732*460),1)</f>
        <v>4</v>
      </c>
      <c r="I29" s="47">
        <f>ROUND(A29*0.75*746*10000/(S29*W29*1.732*460),1)</f>
        <v>3.3</v>
      </c>
      <c r="J29" s="47"/>
      <c r="K29" s="47"/>
      <c r="L29" s="47">
        <v>32</v>
      </c>
      <c r="M29" s="47">
        <f>ROUND(A29*5250/F29,1)</f>
        <v>13.5</v>
      </c>
      <c r="N29" s="47">
        <f>ROUND(A29*5250*0.75/(B29-((B29-F29)*0.75)),1)</f>
        <v>10.1</v>
      </c>
      <c r="O29" s="44">
        <v>279</v>
      </c>
      <c r="P29" s="44">
        <v>352</v>
      </c>
      <c r="Q29" s="47">
        <v>90.3</v>
      </c>
      <c r="R29" s="47">
        <f>A29*746/(A29*746+(AD29*1.2))*100</f>
        <v>88.58151854031783</v>
      </c>
      <c r="S29" s="47">
        <v>91</v>
      </c>
      <c r="T29" s="47">
        <f>ROUND(A29*0.75*746/(A29*0.75*746+(AE29*1.2))*100,1)</f>
        <v>89.4</v>
      </c>
      <c r="U29" s="47">
        <v>89.9</v>
      </c>
      <c r="V29" s="47">
        <v>78</v>
      </c>
      <c r="W29" s="47">
        <v>70</v>
      </c>
      <c r="X29" s="47">
        <v>57.7</v>
      </c>
      <c r="Y29" s="44">
        <v>48</v>
      </c>
      <c r="Z29" s="44">
        <v>20</v>
      </c>
      <c r="AA29" s="44">
        <f>H29*13</f>
        <v>52</v>
      </c>
      <c r="AB29" s="46">
        <v>1.6</v>
      </c>
      <c r="AC29" s="44">
        <v>50</v>
      </c>
      <c r="AD29" s="43">
        <f>(A29*746-(Q29/100*(A29*746)))/(Q29/100)</f>
        <v>240.40531561461796</v>
      </c>
      <c r="AE29" s="43">
        <f>(A29*746*0.75-(S29/100*(A29*0.75*746)))/(S29/100)</f>
        <v>166.00549450549457</v>
      </c>
      <c r="AF29" s="43">
        <f>AG29+1</f>
        <v>24</v>
      </c>
      <c r="AG29" s="43">
        <v>23</v>
      </c>
      <c r="AH29" s="43">
        <v>36</v>
      </c>
      <c r="AI29" s="43">
        <v>260</v>
      </c>
      <c r="AJ29" s="43">
        <f>AI29*$BD$1</f>
        <v>338</v>
      </c>
      <c r="AK29" s="43">
        <v>44</v>
      </c>
      <c r="AL29" s="48">
        <f>$BD$1*0.5</f>
        <v>0.65</v>
      </c>
      <c r="AM29" s="43">
        <v>125</v>
      </c>
      <c r="AN29" s="43" t="s">
        <v>108</v>
      </c>
      <c r="AO29" s="43">
        <v>22</v>
      </c>
      <c r="AP29" s="44">
        <v>27</v>
      </c>
      <c r="AQ29" s="43" t="s">
        <v>109</v>
      </c>
      <c r="AR29" s="1">
        <v>10</v>
      </c>
      <c r="AS29" s="1">
        <v>100</v>
      </c>
      <c r="AY29" s="43"/>
      <c r="BC29" s="49"/>
    </row>
    <row r="30" spans="1:55" ht="14.25">
      <c r="A30" s="47">
        <v>3</v>
      </c>
      <c r="B30" s="44">
        <v>1800</v>
      </c>
      <c r="C30" s="45" t="s">
        <v>116</v>
      </c>
      <c r="D30" s="45" t="s">
        <v>116</v>
      </c>
      <c r="E30" s="43" t="s">
        <v>114</v>
      </c>
      <c r="F30" s="43">
        <v>1754</v>
      </c>
      <c r="G30" s="47">
        <v>1.5</v>
      </c>
      <c r="H30" s="47">
        <f>ROUND(A30*746*10000/(Q30*V30*1.732*460),1)</f>
        <v>3.7</v>
      </c>
      <c r="I30" s="47">
        <f>ROUND(A30*0.75*746*10000/(S30*W30*1.732*460),1)</f>
        <v>3</v>
      </c>
      <c r="J30" s="47"/>
      <c r="K30" s="47"/>
      <c r="L30" s="47">
        <v>32</v>
      </c>
      <c r="M30" s="47">
        <f>ROUND(A30*5250/F30,1)</f>
        <v>9</v>
      </c>
      <c r="N30" s="47">
        <f>ROUND(A30*5250*0.75/(B30-((B30-F30)*0.75)),1)</f>
        <v>6.7</v>
      </c>
      <c r="O30" s="44">
        <v>259</v>
      </c>
      <c r="P30" s="44">
        <v>373</v>
      </c>
      <c r="Q30" s="47">
        <v>89.5</v>
      </c>
      <c r="R30" s="47">
        <f>A30*746/(A30*746+(AD30*1.2))*100</f>
        <v>87.65915768854065</v>
      </c>
      <c r="S30" s="47">
        <v>89.7</v>
      </c>
      <c r="T30" s="47">
        <f>ROUND(A30*0.75*746/(A30*0.75*746+(AE30*1.2))*100,1)</f>
        <v>87.9</v>
      </c>
      <c r="U30" s="47">
        <v>88.6</v>
      </c>
      <c r="V30" s="47">
        <v>84.2</v>
      </c>
      <c r="W30" s="47">
        <v>79</v>
      </c>
      <c r="X30" s="47">
        <v>68.2</v>
      </c>
      <c r="Y30" s="44">
        <v>28</v>
      </c>
      <c r="Z30" s="44">
        <v>15</v>
      </c>
      <c r="AA30" s="44">
        <f>H30*13</f>
        <v>48.1</v>
      </c>
      <c r="AB30" s="46">
        <v>1.2</v>
      </c>
      <c r="AC30" s="44">
        <v>54</v>
      </c>
      <c r="AD30" s="43">
        <f>(A30*746-(Q30/100*(A30*746)))/(Q30/100)</f>
        <v>262.5586592178771</v>
      </c>
      <c r="AE30" s="43">
        <f>(A30*746*0.75-(S30/100*(A30*0.75*746)))/(S30/100)</f>
        <v>192.7374581939798</v>
      </c>
      <c r="AF30" s="43">
        <f>AG30+1</f>
        <v>21</v>
      </c>
      <c r="AG30" s="43">
        <v>20</v>
      </c>
      <c r="AH30" s="43">
        <v>40</v>
      </c>
      <c r="AI30" s="43">
        <v>81</v>
      </c>
      <c r="AJ30" s="44">
        <f>AI30*$BD$1</f>
        <v>105.3</v>
      </c>
      <c r="AK30" s="43">
        <v>17</v>
      </c>
      <c r="AL30" s="48">
        <f>$BD$1*0.245</f>
        <v>0.3185</v>
      </c>
      <c r="AM30" s="43">
        <v>77</v>
      </c>
      <c r="AN30" s="43" t="s">
        <v>108</v>
      </c>
      <c r="AO30" s="43">
        <v>34</v>
      </c>
      <c r="AP30" s="44">
        <v>41</v>
      </c>
      <c r="AQ30" s="43" t="s">
        <v>109</v>
      </c>
      <c r="AR30" s="1">
        <v>10</v>
      </c>
      <c r="AS30" s="1">
        <v>100</v>
      </c>
      <c r="AY30" s="43"/>
      <c r="BC30" s="49"/>
    </row>
    <row r="31" spans="1:55" ht="14.25">
      <c r="A31" s="47">
        <v>3</v>
      </c>
      <c r="B31" s="44">
        <v>3600</v>
      </c>
      <c r="C31" s="45" t="s">
        <v>116</v>
      </c>
      <c r="D31" s="45" t="s">
        <v>116</v>
      </c>
      <c r="E31" s="43" t="s">
        <v>114</v>
      </c>
      <c r="F31" s="43">
        <v>3509</v>
      </c>
      <c r="G31" s="47">
        <v>1.1</v>
      </c>
      <c r="H31" s="47">
        <f>ROUND(A31*746*10000/(Q31*V31*1.732*460),1)</f>
        <v>3.5</v>
      </c>
      <c r="I31" s="47">
        <f>ROUND(A31*0.75*746*10000/(S31*W31*1.732*460),1)</f>
        <v>2.7</v>
      </c>
      <c r="J31" s="47"/>
      <c r="K31" s="47"/>
      <c r="L31" s="47">
        <v>32</v>
      </c>
      <c r="M31" s="47">
        <f>ROUND(A31*5250/F31,1)</f>
        <v>4.5</v>
      </c>
      <c r="N31" s="47">
        <f>ROUND(A31*5250*0.75/(B31-((B31-F31)*0.75)),1)</f>
        <v>3.3</v>
      </c>
      <c r="O31" s="44">
        <v>248</v>
      </c>
      <c r="P31" s="44">
        <v>388</v>
      </c>
      <c r="Q31" s="47">
        <v>88.8</v>
      </c>
      <c r="R31" s="47">
        <f>A31*746/(A31*746+(AD31*1.2))*100</f>
        <v>86.85446009389672</v>
      </c>
      <c r="S31" s="47">
        <v>88.9</v>
      </c>
      <c r="T31" s="47">
        <f>ROUND(A31*0.75*746/(A31*0.75*746+(AE31*1.2))*100,1)</f>
        <v>87</v>
      </c>
      <c r="U31" s="47">
        <v>87.6</v>
      </c>
      <c r="V31" s="47">
        <v>91.1</v>
      </c>
      <c r="W31" s="47">
        <v>87.9</v>
      </c>
      <c r="X31" s="47">
        <v>81</v>
      </c>
      <c r="Y31" s="44">
        <v>24</v>
      </c>
      <c r="Z31" s="44">
        <v>12</v>
      </c>
      <c r="AA31" s="44">
        <f>H31*13</f>
        <v>45.5</v>
      </c>
      <c r="AB31" s="46">
        <v>0.8</v>
      </c>
      <c r="AC31" s="44">
        <v>59</v>
      </c>
      <c r="AD31" s="43">
        <f>(A31*746-(Q31/100*(A31*746)))/(Q31/100)</f>
        <v>282.2702702702702</v>
      </c>
      <c r="AE31" s="43">
        <f>(A31*746*0.75-(S31/100*(A31*0.75*746)))/(S31/100)</f>
        <v>209.57649043869515</v>
      </c>
      <c r="AF31" s="43">
        <f>AG31+1</f>
        <v>11</v>
      </c>
      <c r="AG31" s="43">
        <v>10</v>
      </c>
      <c r="AH31" s="43">
        <v>80</v>
      </c>
      <c r="AI31" s="43">
        <v>18.6</v>
      </c>
      <c r="AJ31" s="47">
        <f>AI31*$BD$1</f>
        <v>24.180000000000003</v>
      </c>
      <c r="AK31" s="43">
        <v>3.5</v>
      </c>
      <c r="AL31" s="48">
        <f>$BD$1*0.0855</f>
        <v>0.11115000000000001</v>
      </c>
      <c r="AM31" s="43">
        <v>77</v>
      </c>
      <c r="AN31" s="43" t="s">
        <v>108</v>
      </c>
      <c r="AO31" s="43">
        <v>25</v>
      </c>
      <c r="AP31" s="44">
        <v>30</v>
      </c>
      <c r="AQ31" s="43" t="s">
        <v>109</v>
      </c>
      <c r="AR31" s="1">
        <v>10</v>
      </c>
      <c r="AS31" s="1">
        <v>100</v>
      </c>
      <c r="AY31" s="43"/>
      <c r="BC31" s="49"/>
    </row>
    <row r="32" spans="1:55" ht="14.25">
      <c r="A32" s="47"/>
      <c r="B32" s="43"/>
      <c r="C32" s="51"/>
      <c r="D32" s="51"/>
      <c r="E32" s="43"/>
      <c r="F32" s="43"/>
      <c r="G32" s="47"/>
      <c r="H32" s="43"/>
      <c r="I32" s="47"/>
      <c r="J32" s="47"/>
      <c r="K32" s="47"/>
      <c r="L32" s="43"/>
      <c r="M32" s="47"/>
      <c r="N32" s="4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6"/>
      <c r="AC32" s="43"/>
      <c r="AD32" s="43"/>
      <c r="AE32" s="43"/>
      <c r="AF32" s="43"/>
      <c r="AG32" s="43"/>
      <c r="AH32" s="43"/>
      <c r="AI32" s="43"/>
      <c r="AJ32" s="43"/>
      <c r="AK32" s="43"/>
      <c r="AL32" s="48"/>
      <c r="AM32" s="43"/>
      <c r="AN32" s="43"/>
      <c r="AO32" s="43"/>
      <c r="AP32" s="43"/>
      <c r="AQ32" s="43"/>
      <c r="AY32" s="43"/>
      <c r="BC32" s="49"/>
    </row>
    <row r="33" spans="1:55" ht="14.25">
      <c r="A33" s="47">
        <v>5</v>
      </c>
      <c r="B33" s="44">
        <v>900</v>
      </c>
      <c r="C33" s="45" t="s">
        <v>122</v>
      </c>
      <c r="D33" s="45" t="s">
        <v>118</v>
      </c>
      <c r="E33" s="43" t="s">
        <v>123</v>
      </c>
      <c r="F33" s="43">
        <v>874</v>
      </c>
      <c r="G33" s="47">
        <v>3.9</v>
      </c>
      <c r="H33" s="47">
        <f>ROUND(A33*746*10000/(Q33*V33*1.732*460),1)</f>
        <v>7.6</v>
      </c>
      <c r="I33" s="47">
        <f>ROUND(A33*0.75*746*10000/(S33*W33*1.732*460),1)</f>
        <v>6.2</v>
      </c>
      <c r="J33" s="47"/>
      <c r="K33" s="47"/>
      <c r="L33" s="47">
        <v>34</v>
      </c>
      <c r="M33" s="47">
        <f>ROUND(A33*5250/F33,1)</f>
        <v>30</v>
      </c>
      <c r="N33" s="47">
        <f>ROUND(A33*5250*0.75/(B33-((B33-F33)*0.75)),1)</f>
        <v>22.4</v>
      </c>
      <c r="O33" s="44">
        <v>156</v>
      </c>
      <c r="P33" s="44">
        <v>214</v>
      </c>
      <c r="Q33" s="47">
        <v>86.5</v>
      </c>
      <c r="R33" s="47">
        <f>A33*746/(A33*746+(AD33*1.2))*100</f>
        <v>84.22590068159688</v>
      </c>
      <c r="S33" s="47">
        <v>87.3</v>
      </c>
      <c r="T33" s="47">
        <f>ROUND(A33*0.75*746/(A33*0.75*746+(AE33*1.2))*100,1)</f>
        <v>85.1</v>
      </c>
      <c r="U33" s="47">
        <v>86</v>
      </c>
      <c r="V33" s="47">
        <v>70.9</v>
      </c>
      <c r="W33" s="47">
        <v>65.2</v>
      </c>
      <c r="X33" s="47">
        <v>54.8</v>
      </c>
      <c r="Y33" s="44">
        <v>31</v>
      </c>
      <c r="Z33" s="44">
        <v>11</v>
      </c>
      <c r="AA33" s="44">
        <f>H33*13</f>
        <v>98.8</v>
      </c>
      <c r="AB33" s="46"/>
      <c r="AC33" s="44">
        <v>49</v>
      </c>
      <c r="AD33" s="43">
        <f>(A33*746-(Q33/100*(A33*746)))/(Q33/100)</f>
        <v>582.1387283236996</v>
      </c>
      <c r="AE33" s="43">
        <f>(A33*746*0.75-(S33/100*(A33*0.75*746)))/(S33/100)</f>
        <v>406.96735395188983</v>
      </c>
      <c r="AF33" s="43"/>
      <c r="AG33" s="43"/>
      <c r="AH33" s="43"/>
      <c r="AI33" s="43">
        <v>985</v>
      </c>
      <c r="AJ33" s="43">
        <f>AI33*1</f>
        <v>985</v>
      </c>
      <c r="AK33" s="43">
        <v>142</v>
      </c>
      <c r="AL33" s="48" t="s">
        <v>107</v>
      </c>
      <c r="AM33" s="43">
        <v>240</v>
      </c>
      <c r="AN33" s="43" t="s">
        <v>108</v>
      </c>
      <c r="AO33" s="43">
        <v>47</v>
      </c>
      <c r="AP33" s="44">
        <v>59</v>
      </c>
      <c r="AQ33" s="43" t="s">
        <v>109</v>
      </c>
      <c r="AR33" s="1" t="s">
        <v>110</v>
      </c>
      <c r="AS33" s="1" t="s">
        <v>110</v>
      </c>
      <c r="AY33" s="43"/>
      <c r="BC33" s="49"/>
    </row>
    <row r="34" spans="1:55" ht="14.25">
      <c r="A34" s="47">
        <v>5</v>
      </c>
      <c r="B34" s="44">
        <v>1200</v>
      </c>
      <c r="C34" s="45" t="s">
        <v>121</v>
      </c>
      <c r="D34" s="45" t="s">
        <v>121</v>
      </c>
      <c r="E34" s="43" t="s">
        <v>120</v>
      </c>
      <c r="F34" s="43">
        <v>1165</v>
      </c>
      <c r="G34" s="47">
        <v>3.1</v>
      </c>
      <c r="H34" s="47">
        <f>ROUND(A34*746*10000/(Q34*V34*1.732*460),1)</f>
        <v>6.5</v>
      </c>
      <c r="I34" s="47">
        <f>ROUND(A34*0.75*746*10000/(S34*W34*1.732*460),1)</f>
        <v>5.4</v>
      </c>
      <c r="J34" s="47"/>
      <c r="K34" s="47"/>
      <c r="L34" s="47">
        <v>46</v>
      </c>
      <c r="M34" s="47">
        <f>ROUND(A34*5250/F34,1)</f>
        <v>22.5</v>
      </c>
      <c r="N34" s="47">
        <f>ROUND(A34*5250*0.75/(B34-((B34-F34)*0.75)),1)</f>
        <v>16.8</v>
      </c>
      <c r="O34" s="44">
        <v>279</v>
      </c>
      <c r="P34" s="44">
        <v>376</v>
      </c>
      <c r="Q34" s="47">
        <v>90.1</v>
      </c>
      <c r="R34" s="47">
        <f>A34*746/(A34*746+(AD34*1.2))*100</f>
        <v>88.35065699156696</v>
      </c>
      <c r="S34" s="47">
        <v>89.7</v>
      </c>
      <c r="T34" s="47">
        <f>ROUND(A34*0.75*746/(A34*0.75*746+(AE34*1.2))*100,1)</f>
        <v>87.9</v>
      </c>
      <c r="U34" s="47">
        <v>87.4</v>
      </c>
      <c r="V34" s="47">
        <v>79.4</v>
      </c>
      <c r="W34" s="47">
        <v>72.7</v>
      </c>
      <c r="X34" s="47">
        <v>60.6</v>
      </c>
      <c r="Y34" s="44">
        <v>48</v>
      </c>
      <c r="Z34" s="44">
        <v>18</v>
      </c>
      <c r="AA34" s="44">
        <f>H34*13</f>
        <v>84.5</v>
      </c>
      <c r="AB34" s="46">
        <v>4.9</v>
      </c>
      <c r="AC34" s="44">
        <v>49</v>
      </c>
      <c r="AD34" s="43">
        <f>(A34*746-(Q34/100*(A34*746)))/(Q34/100)</f>
        <v>409.8446170921204</v>
      </c>
      <c r="AE34" s="43">
        <f>(A34*746*0.75-(S34/100*(A34*0.75*746)))/(S34/100)</f>
        <v>321.2290969899665</v>
      </c>
      <c r="AF34" s="43">
        <f>AG34+1</f>
        <v>20</v>
      </c>
      <c r="AG34" s="43">
        <v>19</v>
      </c>
      <c r="AH34" s="43">
        <v>37</v>
      </c>
      <c r="AI34" s="43">
        <v>305</v>
      </c>
      <c r="AJ34" s="44">
        <f>AI34*$BD$1</f>
        <v>396.5</v>
      </c>
      <c r="AK34" s="43">
        <v>71</v>
      </c>
      <c r="AL34" s="48">
        <f>$BD$1*0.735</f>
        <v>0.9555</v>
      </c>
      <c r="AM34" s="43">
        <v>153</v>
      </c>
      <c r="AN34" s="43" t="s">
        <v>108</v>
      </c>
      <c r="AO34" s="43">
        <v>32</v>
      </c>
      <c r="AP34" s="44">
        <v>41</v>
      </c>
      <c r="AQ34" s="43" t="s">
        <v>109</v>
      </c>
      <c r="AR34" s="1">
        <v>10</v>
      </c>
      <c r="AS34" s="1">
        <v>100</v>
      </c>
      <c r="AY34" s="43"/>
      <c r="BC34" s="49"/>
    </row>
    <row r="35" spans="1:55" ht="14.25">
      <c r="A35" s="47">
        <v>5</v>
      </c>
      <c r="B35" s="44">
        <v>1800</v>
      </c>
      <c r="C35" s="45" t="s">
        <v>116</v>
      </c>
      <c r="D35" s="45" t="s">
        <v>116</v>
      </c>
      <c r="E35" s="43" t="s">
        <v>115</v>
      </c>
      <c r="F35" s="43">
        <v>1737</v>
      </c>
      <c r="G35" s="47">
        <v>2.1</v>
      </c>
      <c r="H35" s="47">
        <f>ROUND(A35*746*10000/(Q35*V35*1.732*460),1)</f>
        <v>6.1</v>
      </c>
      <c r="I35" s="47">
        <f>ROUND(A35*0.75*746*10000/(S35*W35*1.732*460),1)</f>
        <v>4.7</v>
      </c>
      <c r="J35" s="47">
        <f>ROUND(0.75*A35*746*10000/(S35*W35*1.732*460),1)</f>
        <v>4.7</v>
      </c>
      <c r="K35" s="47">
        <f>ROUND(0.5*A35*746*10000/(U35*X35*1.732*460),1)</f>
        <v>3.5</v>
      </c>
      <c r="L35" s="47">
        <v>46</v>
      </c>
      <c r="M35" s="47">
        <f>ROUND(A35*5250/F35,1)</f>
        <v>15.1</v>
      </c>
      <c r="N35" s="47">
        <f>ROUND(A35*5250*0.75/(B35-((B35-F35)*0.75)),1)</f>
        <v>11.2</v>
      </c>
      <c r="O35" s="44">
        <v>265</v>
      </c>
      <c r="P35" s="44">
        <v>290</v>
      </c>
      <c r="Q35" s="47">
        <v>88.4</v>
      </c>
      <c r="R35" s="47">
        <f>A35*746/(A35*746+(AD35*1.2))*100</f>
        <v>86.39562157935887</v>
      </c>
      <c r="S35" s="47">
        <v>89.7</v>
      </c>
      <c r="T35" s="47">
        <f>ROUND(A35*0.75*746/(A35*0.75*746+(AE35*1.2))*100,1)</f>
        <v>87.9</v>
      </c>
      <c r="U35" s="47">
        <v>89.4</v>
      </c>
      <c r="V35" s="47">
        <v>86.7</v>
      </c>
      <c r="W35" s="47">
        <v>83.6</v>
      </c>
      <c r="X35" s="47">
        <v>75.5</v>
      </c>
      <c r="Y35" s="44">
        <v>28</v>
      </c>
      <c r="Z35" s="44">
        <v>13</v>
      </c>
      <c r="AA35" s="44">
        <f>H35*13</f>
        <v>79.3</v>
      </c>
      <c r="AB35" s="46">
        <v>1.7</v>
      </c>
      <c r="AC35" s="44">
        <v>55</v>
      </c>
      <c r="AD35" s="43">
        <f>(A35*746-(Q35/100*(A35*746)))/(Q35/100)</f>
        <v>489.45701357466044</v>
      </c>
      <c r="AE35" s="43">
        <f>(A35*746*0.75-(S35/100*(A35*0.75*746)))/(S35/100)</f>
        <v>321.2290969899665</v>
      </c>
      <c r="AF35" s="43">
        <f>AG35+1</f>
        <v>17</v>
      </c>
      <c r="AG35" s="43">
        <v>16</v>
      </c>
      <c r="AH35" s="43">
        <v>42</v>
      </c>
      <c r="AI35" s="43">
        <v>99</v>
      </c>
      <c r="AJ35" s="44">
        <f>AI35*$BD$1</f>
        <v>128.70000000000002</v>
      </c>
      <c r="AK35" s="43">
        <v>27</v>
      </c>
      <c r="AL35" s="48">
        <f>$BD$1*0.333</f>
        <v>0.43290000000000006</v>
      </c>
      <c r="AM35" s="43">
        <v>101</v>
      </c>
      <c r="AN35" s="43" t="s">
        <v>108</v>
      </c>
      <c r="AO35" s="43">
        <v>56</v>
      </c>
      <c r="AP35" s="44">
        <v>79</v>
      </c>
      <c r="AQ35" s="43" t="s">
        <v>109</v>
      </c>
      <c r="AR35" s="1">
        <v>30</v>
      </c>
      <c r="AS35" s="1">
        <v>90</v>
      </c>
      <c r="AY35" s="43"/>
      <c r="BC35" s="49"/>
    </row>
    <row r="36" spans="1:55" ht="14.25">
      <c r="A36" s="47">
        <v>5</v>
      </c>
      <c r="B36" s="44">
        <v>3600</v>
      </c>
      <c r="C36" s="45" t="s">
        <v>116</v>
      </c>
      <c r="D36" s="45" t="s">
        <v>116</v>
      </c>
      <c r="E36" s="43" t="s">
        <v>115</v>
      </c>
      <c r="F36" s="43">
        <v>3502</v>
      </c>
      <c r="G36" s="47">
        <v>1.5</v>
      </c>
      <c r="H36" s="47">
        <f>ROUND(A36*746*10000/(Q36*V36*1.732*460),1)</f>
        <v>5.7</v>
      </c>
      <c r="I36" s="47">
        <f>ROUND(A36*0.75*746*10000/(S36*W36*1.732*460),1)</f>
        <v>4.4</v>
      </c>
      <c r="J36" s="47"/>
      <c r="K36" s="47"/>
      <c r="L36" s="47">
        <v>46</v>
      </c>
      <c r="M36" s="47">
        <f>ROUND(A36*5250/F36,1)</f>
        <v>7.5</v>
      </c>
      <c r="N36" s="47">
        <f>ROUND(A36*5250*0.75/(B36-((B36-F36)*0.75)),1)</f>
        <v>5.6</v>
      </c>
      <c r="O36" s="44">
        <v>265</v>
      </c>
      <c r="P36" s="44">
        <v>357</v>
      </c>
      <c r="Q36" s="47">
        <v>89</v>
      </c>
      <c r="R36" s="47">
        <f>A36*746/(A36*746+(AD36*1.2))*100</f>
        <v>87.08414872798434</v>
      </c>
      <c r="S36" s="47">
        <v>89.1</v>
      </c>
      <c r="T36" s="47">
        <f>ROUND(A36*0.75*746/(A36*0.75*746+(AE36*1.2))*100,1)</f>
        <v>87.2</v>
      </c>
      <c r="U36" s="47">
        <v>87.7</v>
      </c>
      <c r="V36" s="47">
        <v>92.5</v>
      </c>
      <c r="W36" s="47">
        <v>90.4</v>
      </c>
      <c r="X36" s="47">
        <v>84.8</v>
      </c>
      <c r="Y36" s="44">
        <v>24</v>
      </c>
      <c r="Z36" s="44">
        <v>12</v>
      </c>
      <c r="AA36" s="44">
        <f>H36*13</f>
        <v>74.10000000000001</v>
      </c>
      <c r="AB36" s="46">
        <v>1.2</v>
      </c>
      <c r="AC36" s="44">
        <v>60</v>
      </c>
      <c r="AD36" s="43">
        <f>(A36*746-(Q36/100*(A36*746)))/(Q36/100)</f>
        <v>461.01123595505584</v>
      </c>
      <c r="AE36" s="43">
        <f>(A36*746*0.75-(S36/100*(A36*0.75*746)))/(S36/100)</f>
        <v>342.23063973064</v>
      </c>
      <c r="AF36" s="43">
        <f>AG36+1</f>
        <v>9</v>
      </c>
      <c r="AG36" s="43">
        <v>8</v>
      </c>
      <c r="AH36" s="43">
        <v>83</v>
      </c>
      <c r="AI36" s="43">
        <v>25.2</v>
      </c>
      <c r="AJ36" s="47">
        <f>AI36*$BD$1</f>
        <v>32.76</v>
      </c>
      <c r="AK36" s="43">
        <v>5.7</v>
      </c>
      <c r="AL36" s="48">
        <f>$BD$1*0.148</f>
        <v>0.1924</v>
      </c>
      <c r="AM36" s="43">
        <v>99</v>
      </c>
      <c r="AN36" s="43" t="s">
        <v>108</v>
      </c>
      <c r="AO36" s="43">
        <v>45</v>
      </c>
      <c r="AP36" s="44">
        <v>56</v>
      </c>
      <c r="AQ36" s="43" t="s">
        <v>109</v>
      </c>
      <c r="AR36" s="1">
        <v>10</v>
      </c>
      <c r="AS36" s="1">
        <v>100</v>
      </c>
      <c r="AY36" s="43"/>
      <c r="BC36" s="49"/>
    </row>
    <row r="37" spans="1:55" ht="14.25">
      <c r="A37" s="47"/>
      <c r="B37" s="43"/>
      <c r="C37" s="51"/>
      <c r="D37" s="51"/>
      <c r="E37" s="43"/>
      <c r="F37" s="43"/>
      <c r="G37" s="47"/>
      <c r="H37" s="43"/>
      <c r="I37" s="47"/>
      <c r="J37" s="47"/>
      <c r="K37" s="47"/>
      <c r="L37" s="43"/>
      <c r="M37" s="47"/>
      <c r="N37" s="4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6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Y37" s="43"/>
      <c r="BC37" s="49"/>
    </row>
    <row r="38" spans="1:55" ht="14.25">
      <c r="A38" s="47">
        <v>7.5</v>
      </c>
      <c r="B38" s="44">
        <v>900</v>
      </c>
      <c r="C38" s="45" t="s">
        <v>122</v>
      </c>
      <c r="D38" s="45" t="s">
        <v>118</v>
      </c>
      <c r="E38" s="43" t="s">
        <v>124</v>
      </c>
      <c r="F38" s="43">
        <v>878</v>
      </c>
      <c r="G38" s="47">
        <v>6.4</v>
      </c>
      <c r="H38" s="47">
        <f>ROUND(A38*746*10000/(Q38*V38*1.732*460),1)</f>
        <v>11.7</v>
      </c>
      <c r="I38" s="47">
        <f>ROUND(A38*0.75*746*10000/(S38*W38*1.732*460),1)</f>
        <v>9.7</v>
      </c>
      <c r="J38" s="47"/>
      <c r="K38" s="47"/>
      <c r="L38" s="47">
        <v>59</v>
      </c>
      <c r="M38" s="47">
        <f>ROUND(A38*5250/F38,1)</f>
        <v>44.8</v>
      </c>
      <c r="N38" s="47">
        <f>ROUND(A38*5250*0.75/(B38-((B38-F38)*0.75)),1)</f>
        <v>33.4</v>
      </c>
      <c r="O38" s="44">
        <v>170</v>
      </c>
      <c r="P38" s="44">
        <v>244</v>
      </c>
      <c r="Q38" s="47">
        <v>87.5</v>
      </c>
      <c r="R38" s="47">
        <f>A38*746/(A38*746+(AD38*1.2))*100</f>
        <v>85.36585365853658</v>
      </c>
      <c r="S38" s="47">
        <v>88</v>
      </c>
      <c r="T38" s="47">
        <f>ROUND(A38*0.75*746/(A38*0.75*746+(AE38*1.2))*100,1)</f>
        <v>85.9</v>
      </c>
      <c r="U38" s="47">
        <v>87.3</v>
      </c>
      <c r="V38" s="47">
        <v>68.4</v>
      </c>
      <c r="W38" s="47">
        <v>61.9</v>
      </c>
      <c r="X38" s="47">
        <v>50.7</v>
      </c>
      <c r="Y38" s="44">
        <v>37</v>
      </c>
      <c r="Z38" s="44">
        <v>12</v>
      </c>
      <c r="AA38" s="44">
        <f>H38*13</f>
        <v>152.1</v>
      </c>
      <c r="AB38" s="46"/>
      <c r="AC38" s="44">
        <v>50</v>
      </c>
      <c r="AD38" s="43">
        <f>(A38*746-(Q38/100*(A38*746)))/(Q38/100)</f>
        <v>799.2857142857143</v>
      </c>
      <c r="AE38" s="43">
        <f>(A38*746*0.75-(S38/100*(A38*0.75*746)))/(S38/100)</f>
        <v>572.2159090909093</v>
      </c>
      <c r="AF38" s="43"/>
      <c r="AG38" s="43"/>
      <c r="AH38" s="43"/>
      <c r="AI38" s="43">
        <v>1050</v>
      </c>
      <c r="AJ38" s="43">
        <f>AI38*1</f>
        <v>1050</v>
      </c>
      <c r="AK38" s="43">
        <v>208</v>
      </c>
      <c r="AL38" s="43" t="s">
        <v>107</v>
      </c>
      <c r="AM38" s="43">
        <v>299</v>
      </c>
      <c r="AN38" s="43" t="s">
        <v>108</v>
      </c>
      <c r="AO38" s="43">
        <v>37</v>
      </c>
      <c r="AP38" s="44">
        <v>46</v>
      </c>
      <c r="AQ38" s="43" t="s">
        <v>125</v>
      </c>
      <c r="AR38" s="1" t="s">
        <v>110</v>
      </c>
      <c r="AS38" s="1" t="s">
        <v>110</v>
      </c>
      <c r="AY38" s="43"/>
      <c r="BC38" s="49"/>
    </row>
    <row r="39" spans="1:55" ht="14.25">
      <c r="A39" s="47">
        <v>7.5</v>
      </c>
      <c r="B39" s="44">
        <v>1200</v>
      </c>
      <c r="C39" s="45" t="s">
        <v>126</v>
      </c>
      <c r="D39" s="45" t="s">
        <v>121</v>
      </c>
      <c r="E39" s="43" t="s">
        <v>123</v>
      </c>
      <c r="F39" s="43">
        <v>1179</v>
      </c>
      <c r="G39" s="47">
        <v>4.5</v>
      </c>
      <c r="H39" s="47">
        <f>ROUND(A39*746*10000/(Q39*V39*1.732*460),1)</f>
        <v>9.7</v>
      </c>
      <c r="I39" s="47">
        <f>ROUND(A39*0.75*746*10000/(S39*W39*1.732*460),1)</f>
        <v>7.8</v>
      </c>
      <c r="J39" s="47"/>
      <c r="K39" s="47"/>
      <c r="L39" s="47">
        <v>63.5</v>
      </c>
      <c r="M39" s="47">
        <f>ROUND(A39*5250/F39,1)</f>
        <v>33.4</v>
      </c>
      <c r="N39" s="47">
        <f>ROUND(A39*5250*0.75/(B39-((B39-F39)*0.75)),1)</f>
        <v>24.9</v>
      </c>
      <c r="O39" s="44">
        <v>218</v>
      </c>
      <c r="P39" s="44">
        <v>340</v>
      </c>
      <c r="Q39" s="47">
        <v>92</v>
      </c>
      <c r="R39" s="47">
        <f>A39*746/(A39*746+(AD39*1.2))*100</f>
        <v>90.55118110236221</v>
      </c>
      <c r="S39" s="47">
        <v>91.8</v>
      </c>
      <c r="T39" s="47">
        <f>ROUND(A39*0.75*746/(A39*0.75*746+(AE39*1.1))*100,1)</f>
        <v>91.1</v>
      </c>
      <c r="U39" s="47">
        <v>90.6</v>
      </c>
      <c r="V39" s="47">
        <v>78.6</v>
      </c>
      <c r="W39" s="47">
        <v>73.2</v>
      </c>
      <c r="X39" s="47">
        <v>62.7</v>
      </c>
      <c r="Y39" s="44">
        <v>48</v>
      </c>
      <c r="Z39" s="44">
        <v>20</v>
      </c>
      <c r="AA39" s="44">
        <f>H39*13</f>
        <v>126.1</v>
      </c>
      <c r="AB39" s="46">
        <v>3.5</v>
      </c>
      <c r="AC39" s="44">
        <v>51</v>
      </c>
      <c r="AD39" s="43">
        <f>(A39*746-(Q39/100*(A39*746)))/(Q39/100)</f>
        <v>486.5217391304342</v>
      </c>
      <c r="AE39" s="43">
        <f>(A39*746*0.75-(S39/100*(A39*0.75*746)))/(S39/100)</f>
        <v>374.8284313725493</v>
      </c>
      <c r="AF39" s="43">
        <f>AG39+1</f>
        <v>17</v>
      </c>
      <c r="AG39" s="43">
        <v>16</v>
      </c>
      <c r="AH39" s="43">
        <v>39</v>
      </c>
      <c r="AI39" s="43">
        <v>640</v>
      </c>
      <c r="AJ39" s="43">
        <f>AI39*$BD$1</f>
        <v>832</v>
      </c>
      <c r="AK39" s="43">
        <v>104</v>
      </c>
      <c r="AL39" s="52">
        <f>$BD$1*1.78</f>
        <v>2.314</v>
      </c>
      <c r="AM39" s="43">
        <v>222</v>
      </c>
      <c r="AN39" s="43" t="s">
        <v>108</v>
      </c>
      <c r="AO39" s="43">
        <v>31</v>
      </c>
      <c r="AP39" s="44">
        <v>38</v>
      </c>
      <c r="AQ39" s="43" t="s">
        <v>125</v>
      </c>
      <c r="AR39" s="1">
        <v>10</v>
      </c>
      <c r="AS39" s="1">
        <v>100</v>
      </c>
      <c r="AY39" s="43"/>
      <c r="BC39" s="49"/>
    </row>
    <row r="40" spans="1:55" ht="14.25">
      <c r="A40" s="47">
        <v>7.5</v>
      </c>
      <c r="B40" s="44">
        <v>1800</v>
      </c>
      <c r="C40" s="45" t="s">
        <v>121</v>
      </c>
      <c r="D40" s="45" t="s">
        <v>121</v>
      </c>
      <c r="E40" s="43" t="s">
        <v>119</v>
      </c>
      <c r="F40" s="43">
        <v>1752</v>
      </c>
      <c r="G40" s="47">
        <v>3.6</v>
      </c>
      <c r="H40" s="47">
        <f>ROUND(A40*746*10000/(Q40*V40*1.732*460),1)</f>
        <v>9.2</v>
      </c>
      <c r="I40" s="47">
        <f>ROUND(A40*0.75*746*10000/(S40*W40*1.732*460),1)</f>
        <v>7.3</v>
      </c>
      <c r="J40" s="47"/>
      <c r="K40" s="47"/>
      <c r="L40" s="47">
        <v>63.5</v>
      </c>
      <c r="M40" s="47">
        <f>ROUND(A40*5250/F40,1)</f>
        <v>22.5</v>
      </c>
      <c r="N40" s="47">
        <f>ROUND(A40*5250*0.75/(B40-((B40-F40)*0.75)),1)</f>
        <v>16.7</v>
      </c>
      <c r="O40" s="44">
        <v>280</v>
      </c>
      <c r="P40" s="44">
        <v>290</v>
      </c>
      <c r="Q40" s="47">
        <v>90.9</v>
      </c>
      <c r="R40" s="47">
        <f>A40*746/(A40*746+(AD40*1.2))*100</f>
        <v>89.27519151443725</v>
      </c>
      <c r="S40" s="47">
        <v>91.2</v>
      </c>
      <c r="T40" s="47">
        <f>ROUND(A40*0.75*746/(A40*0.75*746+(AE40*1.1))*100,1)</f>
        <v>90.4</v>
      </c>
      <c r="U40" s="47">
        <v>90.3</v>
      </c>
      <c r="V40" s="47">
        <v>84</v>
      </c>
      <c r="W40" s="47">
        <v>79</v>
      </c>
      <c r="X40" s="47">
        <v>69</v>
      </c>
      <c r="Y40" s="44">
        <v>24</v>
      </c>
      <c r="Z40" s="44">
        <v>12</v>
      </c>
      <c r="AA40" s="44">
        <f>H40*13</f>
        <v>119.6</v>
      </c>
      <c r="AB40" s="46">
        <v>2.8</v>
      </c>
      <c r="AC40" s="44">
        <v>57</v>
      </c>
      <c r="AD40" s="43">
        <f>(A40*746-(Q40/100*(A40*746)))/(Q40/100)</f>
        <v>560.1155115511546</v>
      </c>
      <c r="AE40" s="43">
        <f>(A40*746*0.75-(S40/100*(A40*0.75*746)))/(S40/100)</f>
        <v>404.90131578947364</v>
      </c>
      <c r="AF40" s="43">
        <f>AG40+1</f>
        <v>15</v>
      </c>
      <c r="AG40" s="43">
        <v>14</v>
      </c>
      <c r="AH40" s="43">
        <v>44</v>
      </c>
      <c r="AI40" s="43">
        <v>155</v>
      </c>
      <c r="AJ40" s="44">
        <f>AI40*$BD$1</f>
        <v>201.5</v>
      </c>
      <c r="AK40" s="43">
        <v>39</v>
      </c>
      <c r="AL40" s="52">
        <f>$BD$1*0.785</f>
        <v>1.0205000000000002</v>
      </c>
      <c r="AM40" s="43">
        <v>153</v>
      </c>
      <c r="AN40" s="43" t="s">
        <v>108</v>
      </c>
      <c r="AO40" s="43">
        <v>43</v>
      </c>
      <c r="AP40" s="44">
        <v>60</v>
      </c>
      <c r="AQ40" s="43" t="s">
        <v>125</v>
      </c>
      <c r="AR40" s="1">
        <v>20</v>
      </c>
      <c r="AS40" s="1">
        <v>90</v>
      </c>
      <c r="AY40" s="43"/>
      <c r="BC40" s="49"/>
    </row>
    <row r="41" spans="1:55" ht="14.25">
      <c r="A41" s="47">
        <v>7.5</v>
      </c>
      <c r="B41" s="44">
        <v>3600</v>
      </c>
      <c r="C41" s="45" t="s">
        <v>121</v>
      </c>
      <c r="D41" s="45" t="s">
        <v>127</v>
      </c>
      <c r="E41" s="43" t="s">
        <v>119</v>
      </c>
      <c r="F41" s="43">
        <v>3515</v>
      </c>
      <c r="G41" s="47">
        <v>2.5</v>
      </c>
      <c r="H41" s="47">
        <f>ROUND(A41*746*10000/(Q41*V41*1.732*460),1)</f>
        <v>8.8</v>
      </c>
      <c r="I41" s="47">
        <f>ROUND(A41*0.75*746*10000/(S41*W41*1.732*460),1)</f>
        <v>6.8</v>
      </c>
      <c r="J41" s="47"/>
      <c r="K41" s="47"/>
      <c r="L41" s="47">
        <v>63.5</v>
      </c>
      <c r="M41" s="47">
        <f>ROUND(A41*5250/F41,1)</f>
        <v>11.2</v>
      </c>
      <c r="N41" s="47">
        <f>ROUND(A41*5250*0.75/(B41-((B41-F41)*0.75)),1)</f>
        <v>8.4</v>
      </c>
      <c r="O41" s="44">
        <v>213</v>
      </c>
      <c r="P41" s="44">
        <v>310</v>
      </c>
      <c r="Q41" s="47">
        <v>90.5</v>
      </c>
      <c r="R41" s="47">
        <f>A41*746/(A41*746+(AD41*1.2))*100</f>
        <v>88.81256133464181</v>
      </c>
      <c r="S41" s="47">
        <v>90.3</v>
      </c>
      <c r="T41" s="47">
        <f>ROUND(A41*0.75*746/(A41*0.75*746+(AE41*1.1))*100,1)</f>
        <v>89.4</v>
      </c>
      <c r="U41" s="47">
        <v>89</v>
      </c>
      <c r="V41" s="47">
        <v>88.5</v>
      </c>
      <c r="W41" s="47">
        <v>85.8</v>
      </c>
      <c r="X41" s="47">
        <v>79</v>
      </c>
      <c r="Y41" s="44">
        <v>24</v>
      </c>
      <c r="Z41" s="44">
        <v>12</v>
      </c>
      <c r="AA41" s="44">
        <f>H41*13</f>
        <v>114.4</v>
      </c>
      <c r="AB41" s="46">
        <v>2</v>
      </c>
      <c r="AC41" s="44">
        <v>62</v>
      </c>
      <c r="AD41" s="43">
        <f>(A41*746-(Q41/100*(A41*746)))/(Q41/100)</f>
        <v>587.3204419889498</v>
      </c>
      <c r="AE41" s="43">
        <f>(A41*746*0.75-(S41/100*(A41*0.75*746)))/(S41/100)</f>
        <v>450.75996677740875</v>
      </c>
      <c r="AF41" s="43">
        <f>AG41+1</f>
        <v>8</v>
      </c>
      <c r="AG41" s="43">
        <v>7</v>
      </c>
      <c r="AH41" s="43">
        <v>88</v>
      </c>
      <c r="AI41" s="43">
        <v>29.6</v>
      </c>
      <c r="AJ41" s="47">
        <f>AI41*$BD$1</f>
        <v>38.480000000000004</v>
      </c>
      <c r="AK41" s="43">
        <v>8.3</v>
      </c>
      <c r="AL41" s="48">
        <f>$BD$1*0.393</f>
        <v>0.5109</v>
      </c>
      <c r="AM41" s="43">
        <v>165</v>
      </c>
      <c r="AN41" s="43" t="s">
        <v>108</v>
      </c>
      <c r="AO41" s="43">
        <v>48</v>
      </c>
      <c r="AP41" s="44">
        <v>60</v>
      </c>
      <c r="AQ41" s="43" t="s">
        <v>125</v>
      </c>
      <c r="AR41" s="1">
        <v>10</v>
      </c>
      <c r="AS41" s="1">
        <v>100</v>
      </c>
      <c r="AY41" s="43"/>
      <c r="BC41" s="49"/>
    </row>
    <row r="42" spans="1:55" ht="14.25">
      <c r="A42" s="43"/>
      <c r="B42" s="43"/>
      <c r="C42" s="51"/>
      <c r="D42" s="51"/>
      <c r="E42" s="43"/>
      <c r="F42" s="43"/>
      <c r="G42" s="47"/>
      <c r="H42" s="43"/>
      <c r="I42" s="47"/>
      <c r="J42" s="47"/>
      <c r="K42" s="47"/>
      <c r="L42" s="43"/>
      <c r="M42" s="47"/>
      <c r="N42" s="4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6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Y42" s="43"/>
      <c r="BC42" s="49"/>
    </row>
    <row r="43" spans="1:55" ht="14.25">
      <c r="A43" s="44">
        <v>10</v>
      </c>
      <c r="B43" s="44">
        <v>900</v>
      </c>
      <c r="C43" s="45" t="s">
        <v>128</v>
      </c>
      <c r="D43" s="45" t="s">
        <v>129</v>
      </c>
      <c r="E43" s="43" t="s">
        <v>130</v>
      </c>
      <c r="F43" s="43">
        <v>879</v>
      </c>
      <c r="G43" s="47">
        <v>8.3</v>
      </c>
      <c r="H43" s="47">
        <f>ROUND(A43*746*10000/(Q43*V43*1.732*460),1)</f>
        <v>15.3</v>
      </c>
      <c r="I43" s="47">
        <f>ROUND(A43*0.75*746*10000/(S43*W43*1.732*460),1)</f>
        <v>12.6</v>
      </c>
      <c r="J43" s="47"/>
      <c r="K43" s="47"/>
      <c r="L43" s="47">
        <v>80</v>
      </c>
      <c r="M43" s="47">
        <f>ROUND(A43*5250/F43,1)</f>
        <v>59.7</v>
      </c>
      <c r="N43" s="47">
        <f>ROUND(A43*5250*0.75/(B43-((B43-F43)*0.75)),1)</f>
        <v>44.5</v>
      </c>
      <c r="O43" s="44">
        <v>205</v>
      </c>
      <c r="P43" s="44">
        <v>244</v>
      </c>
      <c r="Q43" s="47">
        <v>88.5</v>
      </c>
      <c r="R43" s="47">
        <f>A43*746/(A43*746+(AD43*1.2))*100</f>
        <v>86.51026392961879</v>
      </c>
      <c r="S43" s="47">
        <v>89.1</v>
      </c>
      <c r="T43" s="47">
        <f>ROUND(A43*0.75*746/(A43*0.75*746+(AE43*1.2))*100,1)</f>
        <v>87.2</v>
      </c>
      <c r="U43" s="47">
        <v>87.5</v>
      </c>
      <c r="V43" s="47">
        <v>69.2</v>
      </c>
      <c r="W43" s="47">
        <v>62.5</v>
      </c>
      <c r="X43" s="47">
        <v>51.1</v>
      </c>
      <c r="Y43" s="44">
        <v>35</v>
      </c>
      <c r="Z43" s="44">
        <v>11</v>
      </c>
      <c r="AA43" s="44">
        <f>H43*13</f>
        <v>198.9</v>
      </c>
      <c r="AB43" s="46"/>
      <c r="AC43" s="44">
        <v>50</v>
      </c>
      <c r="AD43" s="43">
        <f>(A43*746-(Q43/100*(A43*746)))/(Q43/100)</f>
        <v>969.3785310734459</v>
      </c>
      <c r="AE43" s="43">
        <f>(A43*746*0.75-(S43/100*(A43*0.75*746)))/(S43/100)</f>
        <v>684.46127946128</v>
      </c>
      <c r="AF43" s="43"/>
      <c r="AG43" s="43"/>
      <c r="AH43" s="43"/>
      <c r="AI43" s="43">
        <v>1700</v>
      </c>
      <c r="AJ43" s="43">
        <f>AI43*1</f>
        <v>1700</v>
      </c>
      <c r="AK43" s="43">
        <v>273</v>
      </c>
      <c r="AL43" s="43" t="s">
        <v>107</v>
      </c>
      <c r="AM43" s="43">
        <v>416</v>
      </c>
      <c r="AN43" s="43" t="s">
        <v>108</v>
      </c>
      <c r="AO43" s="43">
        <v>32</v>
      </c>
      <c r="AP43" s="44">
        <v>39</v>
      </c>
      <c r="AQ43" s="43" t="s">
        <v>125</v>
      </c>
      <c r="AR43" s="1" t="s">
        <v>110</v>
      </c>
      <c r="AS43" s="1" t="s">
        <v>110</v>
      </c>
      <c r="AY43" s="43"/>
      <c r="BC43" s="49"/>
    </row>
    <row r="44" spans="1:55" ht="14.25">
      <c r="A44" s="44">
        <v>10</v>
      </c>
      <c r="B44" s="44">
        <v>1200</v>
      </c>
      <c r="C44" s="45" t="s">
        <v>126</v>
      </c>
      <c r="D44" s="45" t="s">
        <v>121</v>
      </c>
      <c r="E44" s="43" t="s">
        <v>124</v>
      </c>
      <c r="F44" s="43">
        <v>1176</v>
      </c>
      <c r="G44" s="47">
        <v>5.3</v>
      </c>
      <c r="H44" s="47">
        <f>ROUND(A44*746*10000/(Q44*V44*1.732*460),1)</f>
        <v>12.8</v>
      </c>
      <c r="I44" s="47">
        <f>ROUND(A44*0.75*746*10000/(S44*W44*1.732*460),1)</f>
        <v>10.1</v>
      </c>
      <c r="J44" s="47"/>
      <c r="K44" s="47"/>
      <c r="L44" s="47">
        <v>63.5</v>
      </c>
      <c r="M44" s="47">
        <f>ROUND(A44*5250/F44,1)</f>
        <v>44.6</v>
      </c>
      <c r="N44" s="47">
        <f>ROUND(A44*5250*0.75/(B44-((B44-F44)*0.75)),1)</f>
        <v>33.3</v>
      </c>
      <c r="O44" s="44">
        <v>234</v>
      </c>
      <c r="P44" s="44">
        <v>283</v>
      </c>
      <c r="Q44" s="47">
        <v>92.5</v>
      </c>
      <c r="R44" s="47">
        <f>A44*746/(A44*746+(AD44*1.2))*100</f>
        <v>91.13300492610837</v>
      </c>
      <c r="S44" s="47">
        <v>92.8</v>
      </c>
      <c r="T44" s="47">
        <f>ROUND(A44*0.75*746/(A44*0.75*746+(AE44*1.1))*100,1)</f>
        <v>92.1</v>
      </c>
      <c r="U44" s="47">
        <v>92</v>
      </c>
      <c r="V44" s="47">
        <v>79.2</v>
      </c>
      <c r="W44" s="47">
        <v>74.7</v>
      </c>
      <c r="X44" s="47">
        <v>64.8</v>
      </c>
      <c r="Y44" s="44">
        <v>48</v>
      </c>
      <c r="Z44" s="44">
        <v>18</v>
      </c>
      <c r="AA44" s="44">
        <f>H44*13</f>
        <v>166.4</v>
      </c>
      <c r="AB44" s="46">
        <v>4.1</v>
      </c>
      <c r="AC44" s="44">
        <v>52</v>
      </c>
      <c r="AD44" s="43">
        <f>(A44*746-(Q44/100*(A44*746)))/(Q44/100)</f>
        <v>604.8648648648648</v>
      </c>
      <c r="AE44" s="43">
        <f>(A44*746*0.75-(S44/100*(A44*0.75*746)))/(S44/100)</f>
        <v>434.0948275862071</v>
      </c>
      <c r="AF44" s="43">
        <f>AG44+1</f>
        <v>16</v>
      </c>
      <c r="AG44" s="43">
        <v>15</v>
      </c>
      <c r="AH44" s="43">
        <v>41</v>
      </c>
      <c r="AI44" s="43">
        <v>675</v>
      </c>
      <c r="AJ44" s="44">
        <f>AI44*$BD$1</f>
        <v>877.5</v>
      </c>
      <c r="AK44" s="43">
        <v>137</v>
      </c>
      <c r="AL44" s="52">
        <f>$BD$1*2.01</f>
        <v>2.6130000000000004</v>
      </c>
      <c r="AM44" s="43">
        <v>251</v>
      </c>
      <c r="AN44" s="43" t="s">
        <v>108</v>
      </c>
      <c r="AO44" s="43">
        <v>38</v>
      </c>
      <c r="AP44" s="44">
        <v>49</v>
      </c>
      <c r="AQ44" s="43" t="s">
        <v>125</v>
      </c>
      <c r="AR44" s="1">
        <v>10</v>
      </c>
      <c r="AS44" s="1">
        <v>100</v>
      </c>
      <c r="AY44" s="43"/>
      <c r="BC44" s="49"/>
    </row>
    <row r="45" spans="1:55" ht="14.25">
      <c r="A45" s="44">
        <v>10</v>
      </c>
      <c r="B45" s="44">
        <v>1800</v>
      </c>
      <c r="C45" s="45" t="s">
        <v>121</v>
      </c>
      <c r="D45" s="45" t="s">
        <v>121</v>
      </c>
      <c r="E45" s="43" t="s">
        <v>120</v>
      </c>
      <c r="F45" s="43">
        <v>1746</v>
      </c>
      <c r="G45" s="47">
        <v>4</v>
      </c>
      <c r="H45" s="47">
        <f>ROUND(A45*746*10000/(Q45*V45*1.732*460),1)</f>
        <v>11.9</v>
      </c>
      <c r="I45" s="47">
        <f>ROUND(A45*0.75*746*10000/(S45*W45*1.732*460),1)</f>
        <v>9.4</v>
      </c>
      <c r="J45" s="47"/>
      <c r="K45" s="47"/>
      <c r="L45" s="47">
        <v>81</v>
      </c>
      <c r="M45" s="47">
        <f>ROUND(A45*5250/F45,1)</f>
        <v>30.1</v>
      </c>
      <c r="N45" s="47">
        <f>ROUND(A45*5250*0.75/(B45-((B45-F45)*0.75)),1)</f>
        <v>22.4</v>
      </c>
      <c r="O45" s="44">
        <v>290</v>
      </c>
      <c r="P45" s="44">
        <v>295</v>
      </c>
      <c r="Q45" s="47">
        <v>90.9</v>
      </c>
      <c r="R45" s="47">
        <f>A45*746/(A45*746+(AD45*1.2))*100</f>
        <v>89.27519151443725</v>
      </c>
      <c r="S45" s="47">
        <v>91.3</v>
      </c>
      <c r="T45" s="47">
        <f>ROUND(A45*0.75*746/(A45*0.75*746+(AE45*1.1))*100,1)</f>
        <v>90.5</v>
      </c>
      <c r="U45" s="47">
        <v>90.4</v>
      </c>
      <c r="V45" s="47">
        <v>86.5</v>
      </c>
      <c r="W45" s="47">
        <v>82</v>
      </c>
      <c r="X45" s="47">
        <v>73</v>
      </c>
      <c r="Y45" s="44">
        <v>22</v>
      </c>
      <c r="Z45" s="44">
        <v>10</v>
      </c>
      <c r="AA45" s="44">
        <f>H45*13</f>
        <v>154.70000000000002</v>
      </c>
      <c r="AB45" s="46">
        <v>3.2</v>
      </c>
      <c r="AC45" s="44">
        <v>55</v>
      </c>
      <c r="AD45" s="43">
        <f>(A45*746-(Q45/100*(A45*746)))/(Q45/100)</f>
        <v>746.8206820682065</v>
      </c>
      <c r="AE45" s="43">
        <f>(A45*746*0.75-(S45/100*(A45*0.75*746)))/(S45/100)</f>
        <v>533.1489594742611</v>
      </c>
      <c r="AF45" s="43">
        <f>AG45+1</f>
        <v>14</v>
      </c>
      <c r="AG45" s="43">
        <v>13</v>
      </c>
      <c r="AH45" s="43">
        <v>46</v>
      </c>
      <c r="AI45" s="43">
        <v>163</v>
      </c>
      <c r="AJ45" s="44">
        <f>AI45*$BD$1</f>
        <v>211.9</v>
      </c>
      <c r="AK45" s="43">
        <v>51</v>
      </c>
      <c r="AL45" s="52">
        <f>$BD$1*0.875</f>
        <v>1.1375</v>
      </c>
      <c r="AM45" s="43">
        <v>168</v>
      </c>
      <c r="AN45" s="43" t="s">
        <v>108</v>
      </c>
      <c r="AO45" s="43">
        <v>47</v>
      </c>
      <c r="AP45" s="44">
        <v>64</v>
      </c>
      <c r="AQ45" s="43" t="s">
        <v>125</v>
      </c>
      <c r="AR45" s="1">
        <v>20</v>
      </c>
      <c r="AS45" s="1">
        <v>90</v>
      </c>
      <c r="AY45" s="43"/>
      <c r="BC45" s="49"/>
    </row>
    <row r="46" spans="1:55" ht="14.25">
      <c r="A46" s="44">
        <v>10</v>
      </c>
      <c r="B46" s="44">
        <v>3600</v>
      </c>
      <c r="C46" s="45" t="s">
        <v>121</v>
      </c>
      <c r="D46" s="45" t="s">
        <v>121</v>
      </c>
      <c r="E46" s="43" t="s">
        <v>120</v>
      </c>
      <c r="F46" s="43">
        <v>3510</v>
      </c>
      <c r="G46" s="47">
        <v>2.9</v>
      </c>
      <c r="H46" s="47">
        <f>ROUND(A46*746*10000/(Q46*V46*1.732*460),1)</f>
        <v>11.6</v>
      </c>
      <c r="I46" s="47">
        <f>ROUND(A46*0.75*746*10000/(S46*W46*1.732*460),1)</f>
        <v>8.9</v>
      </c>
      <c r="J46" s="47"/>
      <c r="K46" s="47"/>
      <c r="L46" s="47">
        <v>81</v>
      </c>
      <c r="M46" s="47">
        <f>ROUND(A46*5250/F46,1)</f>
        <v>15</v>
      </c>
      <c r="N46" s="47">
        <f>ROUND(A46*5250*0.75/(B46-((B46-F46)*0.75)),1)</f>
        <v>11.1</v>
      </c>
      <c r="O46" s="44">
        <v>212</v>
      </c>
      <c r="P46" s="44">
        <v>300</v>
      </c>
      <c r="Q46" s="47">
        <v>90.3</v>
      </c>
      <c r="R46" s="47">
        <f>A46*746/(A46*746+(AD46*1.2))*100</f>
        <v>88.58151854031784</v>
      </c>
      <c r="S46" s="47">
        <v>90</v>
      </c>
      <c r="T46" s="47">
        <f>ROUND(A46*0.75*746/(A46*0.75*746+(AE46*1.1))*100,1)</f>
        <v>89.1</v>
      </c>
      <c r="U46" s="47">
        <v>88</v>
      </c>
      <c r="V46" s="47">
        <v>89.7</v>
      </c>
      <c r="W46" s="47">
        <v>87.6</v>
      </c>
      <c r="X46" s="47">
        <v>81.7</v>
      </c>
      <c r="Y46" s="44">
        <v>22</v>
      </c>
      <c r="Z46" s="44">
        <v>10</v>
      </c>
      <c r="AA46" s="44">
        <f>H46*13</f>
        <v>150.79999999999998</v>
      </c>
      <c r="AB46" s="46">
        <v>2.3</v>
      </c>
      <c r="AC46" s="44">
        <v>62</v>
      </c>
      <c r="AD46" s="43">
        <f>(A46*746-(Q46/100*(A46*746)))/(Q46/100)</f>
        <v>801.3510520487263</v>
      </c>
      <c r="AE46" s="43">
        <f>(A46*746*0.75-(S46/100*(A46*0.75*746)))/(S46/100)</f>
        <v>621.6666666666666</v>
      </c>
      <c r="AF46" s="43">
        <f>AG46+1</f>
        <v>7</v>
      </c>
      <c r="AG46" s="43">
        <v>6</v>
      </c>
      <c r="AH46" s="43">
        <v>92</v>
      </c>
      <c r="AI46" s="43">
        <v>37.5</v>
      </c>
      <c r="AJ46" s="47">
        <f>AI46*$BD$1</f>
        <v>48.75</v>
      </c>
      <c r="AK46" s="43">
        <v>11</v>
      </c>
      <c r="AL46" s="48">
        <f>$BD$1*0.542</f>
        <v>0.7046000000000001</v>
      </c>
      <c r="AM46" s="43">
        <v>196</v>
      </c>
      <c r="AN46" s="43" t="s">
        <v>108</v>
      </c>
      <c r="AO46" s="43">
        <v>59</v>
      </c>
      <c r="AP46" s="44">
        <v>74</v>
      </c>
      <c r="AQ46" s="43" t="s">
        <v>125</v>
      </c>
      <c r="AR46" s="1">
        <v>60</v>
      </c>
      <c r="AS46" s="1">
        <v>80</v>
      </c>
      <c r="AY46" s="43"/>
      <c r="BC46" s="49"/>
    </row>
    <row r="47" spans="1:55" ht="14.25">
      <c r="A47" s="44"/>
      <c r="B47" s="43"/>
      <c r="C47" s="51"/>
      <c r="D47" s="51"/>
      <c r="E47" s="43"/>
      <c r="F47" s="43"/>
      <c r="G47" s="47"/>
      <c r="H47" s="43"/>
      <c r="I47" s="47"/>
      <c r="J47" s="47"/>
      <c r="K47" s="47"/>
      <c r="L47" s="43"/>
      <c r="M47" s="47"/>
      <c r="N47" s="4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6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Y47" s="43"/>
      <c r="BC47" s="49"/>
    </row>
    <row r="48" spans="1:55" ht="14.25">
      <c r="A48" s="44">
        <v>15</v>
      </c>
      <c r="B48" s="44">
        <v>900</v>
      </c>
      <c r="C48" s="45" t="s">
        <v>128</v>
      </c>
      <c r="D48" s="45" t="s">
        <v>129</v>
      </c>
      <c r="E48" s="43" t="s">
        <v>131</v>
      </c>
      <c r="F48" s="43">
        <v>877</v>
      </c>
      <c r="G48" s="47">
        <v>12</v>
      </c>
      <c r="H48" s="47">
        <f>ROUND(A48*746*10000/(Q48*V48*1.732*460),1)</f>
        <v>22.4</v>
      </c>
      <c r="I48" s="47">
        <f>ROUND(A48*0.75*746*10000/(S48*W48*1.732*460),1)</f>
        <v>18.5</v>
      </c>
      <c r="J48" s="47"/>
      <c r="K48" s="47"/>
      <c r="L48" s="44">
        <v>99</v>
      </c>
      <c r="M48" s="47">
        <f>ROUND(A48*5250/F48,1)</f>
        <v>89.8</v>
      </c>
      <c r="N48" s="47">
        <f>ROUND(A48*5250*0.75/(B48-((B48-F48)*0.75)),1)</f>
        <v>66.9</v>
      </c>
      <c r="O48" s="44">
        <v>214</v>
      </c>
      <c r="P48" s="44">
        <v>226</v>
      </c>
      <c r="Q48" s="47">
        <v>89.5</v>
      </c>
      <c r="R48" s="47">
        <f>A48*746/(A48*746+(AD48*1.1))*100</f>
        <v>88.57001484413657</v>
      </c>
      <c r="S48" s="47">
        <v>89.3</v>
      </c>
      <c r="T48" s="47">
        <f>ROUND(A48*0.75*746/(A48*0.75*746+(AE48*1.2))*100,1)</f>
        <v>87.4</v>
      </c>
      <c r="U48" s="47">
        <v>87.9</v>
      </c>
      <c r="V48" s="47">
        <v>70</v>
      </c>
      <c r="W48" s="47">
        <v>63.6</v>
      </c>
      <c r="X48" s="47">
        <v>52.6</v>
      </c>
      <c r="Y48" s="44">
        <v>39</v>
      </c>
      <c r="Z48" s="44">
        <v>14</v>
      </c>
      <c r="AA48" s="44">
        <f>H48*13</f>
        <v>291.2</v>
      </c>
      <c r="AB48" s="46"/>
      <c r="AC48" s="44">
        <v>55</v>
      </c>
      <c r="AD48" s="43">
        <f>(A48*746-(Q48/100*(A48*746)))/(Q48/100)</f>
        <v>1312.7932960893843</v>
      </c>
      <c r="AE48" s="43">
        <f>(A48*746*0.75-(S48/100*(A48*0.75*746)))/(S48/100)</f>
        <v>1005.5963045912648</v>
      </c>
      <c r="AF48" s="43"/>
      <c r="AG48" s="43"/>
      <c r="AH48" s="43"/>
      <c r="AI48" s="43">
        <v>1880</v>
      </c>
      <c r="AJ48" s="43">
        <f>AI48*1</f>
        <v>1880</v>
      </c>
      <c r="AK48" s="43">
        <v>400</v>
      </c>
      <c r="AL48" s="43" t="s">
        <v>107</v>
      </c>
      <c r="AM48" s="43">
        <v>404</v>
      </c>
      <c r="AN48" s="43" t="s">
        <v>108</v>
      </c>
      <c r="AO48" s="43">
        <v>47</v>
      </c>
      <c r="AP48" s="44">
        <v>61</v>
      </c>
      <c r="AQ48" s="43" t="s">
        <v>125</v>
      </c>
      <c r="AR48" s="1" t="s">
        <v>110</v>
      </c>
      <c r="AS48" s="1" t="s">
        <v>110</v>
      </c>
      <c r="AY48" s="43"/>
      <c r="BC48" s="49"/>
    </row>
    <row r="49" spans="1:55" ht="14.25">
      <c r="A49" s="44">
        <v>15</v>
      </c>
      <c r="B49" s="44">
        <v>1200</v>
      </c>
      <c r="C49" s="45" t="s">
        <v>128</v>
      </c>
      <c r="D49" s="45" t="s">
        <v>128</v>
      </c>
      <c r="E49" s="43" t="s">
        <v>130</v>
      </c>
      <c r="F49" s="43">
        <v>1173</v>
      </c>
      <c r="G49" s="47">
        <v>7.1</v>
      </c>
      <c r="H49" s="47">
        <f>ROUND(A49*746*10000/(Q49*V49*1.732*460),1)</f>
        <v>18.6</v>
      </c>
      <c r="I49" s="47">
        <f>ROUND(A49*0.75*746*10000/(S49*W49*1.732*460),1)</f>
        <v>14.7</v>
      </c>
      <c r="J49" s="47"/>
      <c r="K49" s="47"/>
      <c r="L49" s="44">
        <v>116</v>
      </c>
      <c r="M49" s="47">
        <f>ROUND(A49*5250/F49,1)</f>
        <v>67.1</v>
      </c>
      <c r="N49" s="47">
        <f>ROUND(A49*5250*0.75/(B49-((B49-F49)*0.75)),1)</f>
        <v>50.1</v>
      </c>
      <c r="O49" s="44">
        <v>208</v>
      </c>
      <c r="P49" s="44">
        <v>277</v>
      </c>
      <c r="Q49" s="47">
        <v>92.3</v>
      </c>
      <c r="R49" s="47">
        <f>A49*746/(A49*746+(AD49*1.1))*100</f>
        <v>91.59472065098738</v>
      </c>
      <c r="S49" s="47">
        <v>92.5</v>
      </c>
      <c r="T49" s="47">
        <f>ROUND(A49*0.75*746/(A49*0.75*746+(AE49*1.1))*100,1)</f>
        <v>91.8</v>
      </c>
      <c r="U49" s="47">
        <v>92</v>
      </c>
      <c r="V49" s="47">
        <v>82</v>
      </c>
      <c r="W49" s="47">
        <v>77.7</v>
      </c>
      <c r="X49" s="47">
        <v>68.3</v>
      </c>
      <c r="Y49" s="44">
        <v>45</v>
      </c>
      <c r="Z49" s="44">
        <v>18</v>
      </c>
      <c r="AA49" s="44">
        <f>H49*13</f>
        <v>241.8</v>
      </c>
      <c r="AB49" s="46">
        <v>5.6</v>
      </c>
      <c r="AC49" s="44">
        <v>59</v>
      </c>
      <c r="AD49" s="43">
        <f>(A49*746-(Q49/100*(A49*746)))/(Q49/100)</f>
        <v>933.5102925243782</v>
      </c>
      <c r="AE49" s="43">
        <f>(A49*746*0.75-(S49/100*(A49*0.75*746)))/(S49/100)</f>
        <v>680.4729729729729</v>
      </c>
      <c r="AF49" s="43">
        <f>AG49+1</f>
        <v>13</v>
      </c>
      <c r="AG49" s="43">
        <v>12</v>
      </c>
      <c r="AH49" s="43">
        <v>44</v>
      </c>
      <c r="AI49" s="43">
        <v>1120</v>
      </c>
      <c r="AJ49" s="43">
        <f>AI49*$BD$1</f>
        <v>1456</v>
      </c>
      <c r="AK49" s="43">
        <v>200</v>
      </c>
      <c r="AL49" s="52">
        <f>$BD$1*4</f>
        <v>5.2</v>
      </c>
      <c r="AM49" s="43">
        <v>374</v>
      </c>
      <c r="AN49" s="43" t="s">
        <v>108</v>
      </c>
      <c r="AO49" s="43">
        <v>45</v>
      </c>
      <c r="AP49" s="44">
        <v>58</v>
      </c>
      <c r="AQ49" s="43" t="s">
        <v>125</v>
      </c>
      <c r="AR49" s="1">
        <v>30</v>
      </c>
      <c r="AS49" s="1">
        <v>85</v>
      </c>
      <c r="AY49" s="43"/>
      <c r="BC49" s="49"/>
    </row>
    <row r="50" spans="1:55" ht="14.25">
      <c r="A50" s="44">
        <v>15</v>
      </c>
      <c r="B50" s="44">
        <v>1800</v>
      </c>
      <c r="C50" s="45" t="s">
        <v>126</v>
      </c>
      <c r="D50" s="45" t="s">
        <v>121</v>
      </c>
      <c r="E50" s="43" t="s">
        <v>123</v>
      </c>
      <c r="F50" s="43">
        <v>1774</v>
      </c>
      <c r="G50" s="47">
        <v>6.6</v>
      </c>
      <c r="H50" s="47">
        <f>ROUND(A50*746*10000/(Q50*V50*1.732*460),1)</f>
        <v>18.2</v>
      </c>
      <c r="I50" s="47">
        <f>ROUND(A50*0.75*746*10000/(S50*W50*1.732*460),1)</f>
        <v>14.3</v>
      </c>
      <c r="J50" s="47"/>
      <c r="K50" s="47"/>
      <c r="L50" s="44">
        <v>110</v>
      </c>
      <c r="M50" s="47">
        <f>ROUND(A50*5250/F50,1)</f>
        <v>44.4</v>
      </c>
      <c r="N50" s="47">
        <f>ROUND(A50*5250*0.75/(B50-((B50-F50)*0.75)),1)</f>
        <v>33.2</v>
      </c>
      <c r="O50" s="44">
        <v>229</v>
      </c>
      <c r="P50" s="44">
        <v>254</v>
      </c>
      <c r="Q50" s="47">
        <v>92.4</v>
      </c>
      <c r="R50" s="47">
        <f>A50*746/(A50*746+(AD50*1.1))*100</f>
        <v>91.70305676855895</v>
      </c>
      <c r="S50" s="47">
        <v>92.6</v>
      </c>
      <c r="T50" s="47">
        <f>ROUND(A50*0.75*746/(A50*0.75*746+(AE50*1.1))*100,1)</f>
        <v>91.9</v>
      </c>
      <c r="U50" s="47">
        <v>91.8</v>
      </c>
      <c r="V50" s="47">
        <v>83.6</v>
      </c>
      <c r="W50" s="47">
        <v>79.7</v>
      </c>
      <c r="X50" s="47">
        <v>71</v>
      </c>
      <c r="Y50" s="44">
        <v>24</v>
      </c>
      <c r="Z50" s="44">
        <v>12</v>
      </c>
      <c r="AA50" s="44">
        <f>H50*13</f>
        <v>236.6</v>
      </c>
      <c r="AB50" s="46">
        <v>5.2</v>
      </c>
      <c r="AC50" s="44">
        <v>61</v>
      </c>
      <c r="AD50" s="43">
        <f>(A50*746-(Q50/100*(A50*746)))/(Q50/100)</f>
        <v>920.389610389609</v>
      </c>
      <c r="AE50" s="43">
        <f>(A50*746*0.75-(S50/100*(A50*0.75*746)))/(S50/100)</f>
        <v>670.6749460043208</v>
      </c>
      <c r="AF50" s="43">
        <f>AG50+1</f>
        <v>12</v>
      </c>
      <c r="AG50" s="43">
        <v>11</v>
      </c>
      <c r="AH50" s="43">
        <v>50</v>
      </c>
      <c r="AI50" s="43">
        <v>296</v>
      </c>
      <c r="AJ50" s="44">
        <f>AI50*$BD$1</f>
        <v>384.8</v>
      </c>
      <c r="AK50" s="43">
        <v>75</v>
      </c>
      <c r="AL50" s="52">
        <f>$BD$1*1.62</f>
        <v>2.1060000000000003</v>
      </c>
      <c r="AM50" s="43">
        <v>234</v>
      </c>
      <c r="AN50" s="43" t="s">
        <v>108</v>
      </c>
      <c r="AO50" s="43">
        <v>45</v>
      </c>
      <c r="AP50" s="44">
        <v>56</v>
      </c>
      <c r="AQ50" s="43" t="s">
        <v>125</v>
      </c>
      <c r="AR50" s="1">
        <v>10</v>
      </c>
      <c r="AS50" s="1">
        <v>100</v>
      </c>
      <c r="AY50" s="43"/>
      <c r="BC50" s="49"/>
    </row>
    <row r="51" spans="1:55" ht="14.25">
      <c r="A51" s="44">
        <v>15</v>
      </c>
      <c r="B51" s="44">
        <v>3600</v>
      </c>
      <c r="C51" s="45" t="s">
        <v>126</v>
      </c>
      <c r="D51" s="45" t="s">
        <v>121</v>
      </c>
      <c r="E51" s="43" t="s">
        <v>123</v>
      </c>
      <c r="F51" s="43">
        <v>3533</v>
      </c>
      <c r="G51" s="47">
        <v>3.4</v>
      </c>
      <c r="H51" s="47">
        <f>ROUND(A51*746*10000/(Q51*V51*1.732*460),1)</f>
        <v>16.7</v>
      </c>
      <c r="I51" s="47">
        <f>ROUND(A51*0.75*746*10000/(S51*W51*1.732*460),1)</f>
        <v>12.5</v>
      </c>
      <c r="J51" s="47"/>
      <c r="K51" s="47"/>
      <c r="L51" s="44">
        <v>116</v>
      </c>
      <c r="M51" s="47">
        <f>ROUND(A51*5250/F51,1)</f>
        <v>22.3</v>
      </c>
      <c r="N51" s="47">
        <f>ROUND(A51*5250*0.75/(B51-((B51-F51)*0.75)),1)</f>
        <v>16.6</v>
      </c>
      <c r="O51" s="44">
        <v>220</v>
      </c>
      <c r="P51" s="44">
        <v>290</v>
      </c>
      <c r="Q51" s="47">
        <v>91.6</v>
      </c>
      <c r="R51" s="47">
        <v>91</v>
      </c>
      <c r="S51" s="47">
        <v>92</v>
      </c>
      <c r="T51" s="47">
        <f>ROUND(A51*0.75*746/(A51*0.75*746+(AE51*1.1))*100,1)</f>
        <v>91.3</v>
      </c>
      <c r="U51" s="47">
        <v>91.6</v>
      </c>
      <c r="V51" s="47">
        <v>91.9</v>
      </c>
      <c r="W51" s="47">
        <v>91.8</v>
      </c>
      <c r="X51" s="47">
        <v>91.1</v>
      </c>
      <c r="Y51" s="44">
        <v>24</v>
      </c>
      <c r="Z51" s="44">
        <v>11</v>
      </c>
      <c r="AA51" s="44">
        <f>H51*13</f>
        <v>217.1</v>
      </c>
      <c r="AB51" s="46">
        <v>2.7</v>
      </c>
      <c r="AC51" s="44">
        <v>65</v>
      </c>
      <c r="AD51" s="43">
        <f>(A51*746-(Q51/100*(A51*746)))/(Q51/100)</f>
        <v>1026.1572052401757</v>
      </c>
      <c r="AE51" s="43">
        <f>(A51*746*0.75-(S51/100*(A51*0.75*746)))/(S51/100)</f>
        <v>729.7826086956518</v>
      </c>
      <c r="AF51" s="43">
        <f>AG51+1</f>
        <v>7</v>
      </c>
      <c r="AG51" s="43">
        <v>6</v>
      </c>
      <c r="AH51" s="43">
        <v>100</v>
      </c>
      <c r="AI51" s="43">
        <v>40</v>
      </c>
      <c r="AJ51" s="43">
        <f>AI51*$BD$1</f>
        <v>52</v>
      </c>
      <c r="AK51" s="43">
        <v>16</v>
      </c>
      <c r="AL51" s="52">
        <f>$BD$1*1.06</f>
        <v>1.3780000000000001</v>
      </c>
      <c r="AM51" s="43">
        <v>266</v>
      </c>
      <c r="AN51" s="43" t="s">
        <v>108</v>
      </c>
      <c r="AO51" s="43">
        <v>56</v>
      </c>
      <c r="AP51" s="44">
        <v>75</v>
      </c>
      <c r="AQ51" s="43" t="s">
        <v>125</v>
      </c>
      <c r="AR51" s="1">
        <v>30</v>
      </c>
      <c r="AS51" s="1">
        <v>90</v>
      </c>
      <c r="AY51" s="43"/>
      <c r="BC51" s="49"/>
    </row>
    <row r="52" spans="1:55" ht="14.25">
      <c r="A52" s="44"/>
      <c r="B52" s="43"/>
      <c r="C52" s="51"/>
      <c r="D52" s="51"/>
      <c r="E52" s="43"/>
      <c r="F52" s="43"/>
      <c r="G52" s="47"/>
      <c r="H52" s="43"/>
      <c r="I52" s="47"/>
      <c r="J52" s="47"/>
      <c r="K52" s="47"/>
      <c r="L52" s="44"/>
      <c r="M52" s="52"/>
      <c r="N52" s="5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6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Y52" s="43"/>
      <c r="BC52" s="49"/>
    </row>
    <row r="53" spans="1:55" ht="14.25">
      <c r="A53" s="44">
        <v>20</v>
      </c>
      <c r="B53" s="44">
        <v>900</v>
      </c>
      <c r="C53" s="45" t="s">
        <v>132</v>
      </c>
      <c r="D53" s="45" t="s">
        <v>133</v>
      </c>
      <c r="E53" s="43" t="s">
        <v>134</v>
      </c>
      <c r="F53" s="43">
        <v>879</v>
      </c>
      <c r="G53" s="47">
        <v>13.8</v>
      </c>
      <c r="H53" s="47">
        <f>ROUND(A53*746*10000/(Q53*V53*1.732*460),1)</f>
        <v>29.6</v>
      </c>
      <c r="I53" s="47">
        <f>ROUND(A53*0.75*746*10000/(S53*W53*1.732*460),1)</f>
        <v>23.8</v>
      </c>
      <c r="J53" s="47"/>
      <c r="K53" s="47"/>
      <c r="L53" s="44">
        <v>142.5</v>
      </c>
      <c r="M53" s="44">
        <f>ROUND(A53*5250/F53,0)</f>
        <v>119</v>
      </c>
      <c r="N53" s="47">
        <f>ROUND(A53*5250*0.75/(B53-((B53-F53)*0.75)),1)</f>
        <v>89.1</v>
      </c>
      <c r="O53" s="44">
        <v>225</v>
      </c>
      <c r="P53" s="44">
        <v>204</v>
      </c>
      <c r="Q53" s="47">
        <v>89.5</v>
      </c>
      <c r="R53" s="47">
        <f>A53*746/(A53*746+(AD53*1.1))*100</f>
        <v>88.57001484413657</v>
      </c>
      <c r="S53" s="47">
        <v>89.9</v>
      </c>
      <c r="T53" s="47">
        <f>ROUND(A53*0.75*746/(A53*0.75*746+(AE53*1.2))*100,1)</f>
        <v>88.1</v>
      </c>
      <c r="U53" s="47">
        <v>88.9</v>
      </c>
      <c r="V53" s="47">
        <v>70.8</v>
      </c>
      <c r="W53" s="47">
        <v>65.7</v>
      </c>
      <c r="X53" s="47">
        <v>55.4</v>
      </c>
      <c r="Y53" s="44">
        <v>28</v>
      </c>
      <c r="Z53" s="44">
        <v>12</v>
      </c>
      <c r="AA53" s="44">
        <f>H53*13</f>
        <v>384.8</v>
      </c>
      <c r="AB53" s="46"/>
      <c r="AC53" s="44">
        <v>55</v>
      </c>
      <c r="AD53" s="43">
        <f>(A53*746-(Q53/100*(A53*746)))/(Q53/100)</f>
        <v>1750.3910614525144</v>
      </c>
      <c r="AE53" s="43">
        <f>(A53*746*0.75-(S53/100*(A53*0.75*746)))/(S53/100)</f>
        <v>1257.1635150166858</v>
      </c>
      <c r="AF53" s="43"/>
      <c r="AG53" s="43"/>
      <c r="AH53" s="43"/>
      <c r="AI53" s="43">
        <v>2580</v>
      </c>
      <c r="AJ53" s="43">
        <f>AI53*1</f>
        <v>2580</v>
      </c>
      <c r="AK53" s="43">
        <v>525</v>
      </c>
      <c r="AL53" s="43" t="s">
        <v>107</v>
      </c>
      <c r="AM53" s="43">
        <v>591</v>
      </c>
      <c r="AN53" s="43" t="s">
        <v>108</v>
      </c>
      <c r="AO53" s="43">
        <v>48</v>
      </c>
      <c r="AP53" s="44">
        <v>62</v>
      </c>
      <c r="AQ53" s="43" t="s">
        <v>125</v>
      </c>
      <c r="AR53" s="1" t="s">
        <v>110</v>
      </c>
      <c r="AS53" s="1" t="s">
        <v>110</v>
      </c>
      <c r="AY53" s="43"/>
      <c r="BC53" s="49"/>
    </row>
    <row r="54" spans="1:55" ht="14.25">
      <c r="A54" s="44">
        <v>20</v>
      </c>
      <c r="B54" s="44">
        <v>1200</v>
      </c>
      <c r="C54" s="45" t="s">
        <v>128</v>
      </c>
      <c r="D54" s="45" t="s">
        <v>128</v>
      </c>
      <c r="E54" s="43" t="s">
        <v>131</v>
      </c>
      <c r="F54" s="43">
        <v>1170</v>
      </c>
      <c r="G54" s="47">
        <v>10</v>
      </c>
      <c r="H54" s="47">
        <f>ROUND(A54*746*10000/(Q54*V54*1.732*460),1)</f>
        <v>24.3</v>
      </c>
      <c r="I54" s="47">
        <f>ROUND(A54*0.75*746*10000/(S54*W54*1.732*460),1)</f>
        <v>18.9</v>
      </c>
      <c r="J54" s="47">
        <f>ROUND(0.75*A54*746*10000/(S54*W54*1.732*460),1)</f>
        <v>18.9</v>
      </c>
      <c r="K54" s="47">
        <f>ROUND(0.5*A54*746*10000/(U54*X54*1.732*460),1)</f>
        <v>14.1</v>
      </c>
      <c r="L54" s="44">
        <v>145</v>
      </c>
      <c r="M54" s="47">
        <f>ROUND(A54*5250/F54,1)</f>
        <v>89.7</v>
      </c>
      <c r="N54" s="47">
        <f>ROUND(A54*5250*0.75/(B54-((B54-F54)*0.75)),1)</f>
        <v>66.9</v>
      </c>
      <c r="O54" s="44">
        <v>205</v>
      </c>
      <c r="P54" s="44">
        <v>275</v>
      </c>
      <c r="Q54" s="47">
        <v>92.3</v>
      </c>
      <c r="R54" s="47">
        <f>A54*746/(A54*746+(AD54*1.1))*100</f>
        <v>91.5947206509874</v>
      </c>
      <c r="S54" s="47">
        <v>92.6</v>
      </c>
      <c r="T54" s="47">
        <f>ROUND(A54*0.75*746/(A54*0.75*746+(AE54*1.1))*100,1)</f>
        <v>91.9</v>
      </c>
      <c r="U54" s="47">
        <v>92.2</v>
      </c>
      <c r="V54" s="47">
        <v>83.5</v>
      </c>
      <c r="W54" s="47">
        <v>80.2</v>
      </c>
      <c r="X54" s="47">
        <v>72.2</v>
      </c>
      <c r="Y54" s="44">
        <v>44</v>
      </c>
      <c r="Z54" s="44">
        <v>16</v>
      </c>
      <c r="AA54" s="44">
        <f>H54*13</f>
        <v>315.90000000000003</v>
      </c>
      <c r="AB54" s="46">
        <v>7.9</v>
      </c>
      <c r="AC54" s="44">
        <v>59</v>
      </c>
      <c r="AD54" s="43">
        <f>(A54*746-(Q54/100*(A54*746)))/(Q54/100)</f>
        <v>1244.680390032503</v>
      </c>
      <c r="AE54" s="43">
        <f>(A54*746*0.75-(S54/100*(A54*0.75*746)))/(S54/100)</f>
        <v>894.2332613390944</v>
      </c>
      <c r="AF54" s="43">
        <f>AG54+1</f>
        <v>12</v>
      </c>
      <c r="AG54" s="43">
        <v>11</v>
      </c>
      <c r="AH54" s="43">
        <v>48</v>
      </c>
      <c r="AI54" s="43">
        <v>1250</v>
      </c>
      <c r="AJ54" s="43">
        <f>AI54*$BD$1</f>
        <v>1625</v>
      </c>
      <c r="AK54" s="43">
        <v>262</v>
      </c>
      <c r="AL54" s="52">
        <f>$BD$1*4.9</f>
        <v>6.370000000000001</v>
      </c>
      <c r="AM54" s="43">
        <v>404</v>
      </c>
      <c r="AN54" s="43" t="s">
        <v>108</v>
      </c>
      <c r="AO54" s="43">
        <v>50</v>
      </c>
      <c r="AP54" s="44">
        <v>66</v>
      </c>
      <c r="AQ54" s="43" t="s">
        <v>125</v>
      </c>
      <c r="AR54" s="1">
        <v>30</v>
      </c>
      <c r="AS54" s="1">
        <v>85</v>
      </c>
      <c r="AY54" s="43"/>
      <c r="BC54" s="49"/>
    </row>
    <row r="55" spans="1:55" ht="14.25">
      <c r="A55" s="44">
        <v>20</v>
      </c>
      <c r="B55" s="44">
        <v>1800</v>
      </c>
      <c r="C55" s="45" t="s">
        <v>126</v>
      </c>
      <c r="D55" s="45" t="s">
        <v>121</v>
      </c>
      <c r="E55" s="43" t="s">
        <v>124</v>
      </c>
      <c r="F55" s="43">
        <v>1772</v>
      </c>
      <c r="G55" s="47">
        <v>8.1</v>
      </c>
      <c r="H55" s="47">
        <f>ROUND(A55*746*10000/(Q55*V55*1.732*460),1)</f>
        <v>23.7</v>
      </c>
      <c r="I55" s="47">
        <f>ROUND(A55*0.75*746*10000/(S55*W55*1.732*460),1)</f>
        <v>18.5</v>
      </c>
      <c r="J55" s="47"/>
      <c r="K55" s="47"/>
      <c r="L55" s="44">
        <v>145</v>
      </c>
      <c r="M55" s="47">
        <f>ROUND(A55*5250/F55,1)</f>
        <v>59.3</v>
      </c>
      <c r="N55" s="47">
        <f>ROUND(A55*5250*0.75/(B55-((B55-F55)*0.75)),1)</f>
        <v>44.3</v>
      </c>
      <c r="O55" s="44">
        <v>225</v>
      </c>
      <c r="P55" s="44">
        <v>240</v>
      </c>
      <c r="Q55" s="47">
        <v>93.1</v>
      </c>
      <c r="R55" s="47">
        <f>A55*746/(A55*746+(AD55*1.1))*100</f>
        <v>92.46201211639685</v>
      </c>
      <c r="S55" s="47">
        <v>93.4</v>
      </c>
      <c r="T55" s="47">
        <f>ROUND(A55*0.75*746/(A55*0.75*746+(AE55*1.1))*100,1)</f>
        <v>92.8</v>
      </c>
      <c r="U55" s="47">
        <v>93</v>
      </c>
      <c r="V55" s="47">
        <v>84.9</v>
      </c>
      <c r="W55" s="47">
        <v>81.4</v>
      </c>
      <c r="X55" s="47">
        <v>73.3</v>
      </c>
      <c r="Y55" s="44">
        <v>21</v>
      </c>
      <c r="Z55" s="44">
        <v>9</v>
      </c>
      <c r="AA55" s="44">
        <f>H55*13</f>
        <v>308.09999999999997</v>
      </c>
      <c r="AB55" s="46">
        <v>6.4</v>
      </c>
      <c r="AC55" s="44">
        <v>61</v>
      </c>
      <c r="AD55" s="43">
        <f>(A55*746-(Q55/100*(A55*746)))/(Q55/100)</f>
        <v>1105.7787325456513</v>
      </c>
      <c r="AE55" s="43">
        <f>(A55*746*0.75-(S55/100*(A55*0.75*746)))/(S55/100)</f>
        <v>790.7280513918619</v>
      </c>
      <c r="AF55" s="43">
        <f>AG55+1</f>
        <v>11</v>
      </c>
      <c r="AG55" s="43">
        <v>10</v>
      </c>
      <c r="AH55" s="43">
        <v>55</v>
      </c>
      <c r="AI55" s="43">
        <v>344</v>
      </c>
      <c r="AJ55" s="44">
        <f>AI55*$BD$1</f>
        <v>447.2</v>
      </c>
      <c r="AK55" s="43">
        <v>99</v>
      </c>
      <c r="AL55" s="52">
        <f>$BD$1*2.21</f>
        <v>2.873</v>
      </c>
      <c r="AM55" s="43">
        <v>285</v>
      </c>
      <c r="AN55" s="43" t="s">
        <v>108</v>
      </c>
      <c r="AO55" s="43">
        <v>51</v>
      </c>
      <c r="AP55" s="44">
        <v>66</v>
      </c>
      <c r="AQ55" s="43" t="s">
        <v>125</v>
      </c>
      <c r="AR55" s="1">
        <v>20</v>
      </c>
      <c r="AS55" s="1">
        <v>90</v>
      </c>
      <c r="AY55" s="43"/>
      <c r="BC55" s="49"/>
    </row>
    <row r="56" spans="1:55" ht="14.25">
      <c r="A56" s="44">
        <v>20</v>
      </c>
      <c r="B56" s="44">
        <v>3600</v>
      </c>
      <c r="C56" s="45" t="s">
        <v>126</v>
      </c>
      <c r="D56" s="45" t="s">
        <v>121</v>
      </c>
      <c r="E56" s="43" t="s">
        <v>124</v>
      </c>
      <c r="F56" s="43">
        <v>3535</v>
      </c>
      <c r="G56" s="47">
        <v>4.125</v>
      </c>
      <c r="H56" s="47">
        <f>ROUND(A56*746*10000/(Q56*V56*1.732*460),1)</f>
        <v>21.8</v>
      </c>
      <c r="I56" s="47">
        <f>ROUND(A56*0.75*746*10000/(S56*W56*1.732*460),1)</f>
        <v>16.3</v>
      </c>
      <c r="J56" s="47"/>
      <c r="K56" s="47"/>
      <c r="L56" s="44">
        <v>145</v>
      </c>
      <c r="M56" s="47">
        <f>ROUND(A56*5250/F56,1)</f>
        <v>29.7</v>
      </c>
      <c r="N56" s="47">
        <f>ROUND(A56*5250*0.75/(B56-((B56-F56)*0.75)),1)</f>
        <v>22.2</v>
      </c>
      <c r="O56" s="44">
        <v>250</v>
      </c>
      <c r="P56" s="44">
        <v>280</v>
      </c>
      <c r="Q56" s="47">
        <v>92.5</v>
      </c>
      <c r="R56" s="47">
        <f>A56*746/(A56*746+(AD56*1.1))*100</f>
        <v>91.81141439205956</v>
      </c>
      <c r="S56" s="47">
        <v>93.2</v>
      </c>
      <c r="T56" s="47">
        <f>ROUND(A56*0.75*746/(A56*0.75*746+(AE56*1.1))*100,1)</f>
        <v>92.6</v>
      </c>
      <c r="U56" s="47">
        <v>93.2</v>
      </c>
      <c r="V56" s="47">
        <v>92.9</v>
      </c>
      <c r="W56" s="47">
        <v>92.3</v>
      </c>
      <c r="X56" s="47">
        <v>88.9</v>
      </c>
      <c r="Y56" s="44">
        <v>21</v>
      </c>
      <c r="Z56" s="44">
        <v>9</v>
      </c>
      <c r="AA56" s="44">
        <f>H56*13</f>
        <v>283.40000000000003</v>
      </c>
      <c r="AB56" s="46">
        <v>3.3</v>
      </c>
      <c r="AC56" s="44">
        <v>72</v>
      </c>
      <c r="AD56" s="43">
        <f>(A56*746-(Q56/100*(A56*746)))/(Q56/100)</f>
        <v>1209.7297297297296</v>
      </c>
      <c r="AE56" s="43">
        <f>(A56*746*0.75-(S56/100*(A56*0.75*746)))/(S56/100)</f>
        <v>816.4377682403434</v>
      </c>
      <c r="AF56" s="43">
        <f>AG56+1</f>
        <v>6</v>
      </c>
      <c r="AG56" s="43">
        <v>5</v>
      </c>
      <c r="AH56" s="43">
        <v>110</v>
      </c>
      <c r="AI56" s="43">
        <v>50.6</v>
      </c>
      <c r="AJ56" s="47">
        <f>AI56*$BD$1</f>
        <v>65.78</v>
      </c>
      <c r="AK56" s="43">
        <v>21</v>
      </c>
      <c r="AL56" s="52">
        <f>$BD$1*1.6</f>
        <v>2.08</v>
      </c>
      <c r="AM56" s="43">
        <v>312</v>
      </c>
      <c r="AN56" s="43" t="s">
        <v>108</v>
      </c>
      <c r="AO56" s="43">
        <v>56</v>
      </c>
      <c r="AP56" s="44">
        <v>80</v>
      </c>
      <c r="AQ56" s="43" t="s">
        <v>125</v>
      </c>
      <c r="AR56" s="1">
        <v>60</v>
      </c>
      <c r="AS56" s="1">
        <v>80</v>
      </c>
      <c r="AY56" s="43"/>
      <c r="BC56" s="49"/>
    </row>
    <row r="57" spans="1:55" ht="14.25">
      <c r="A57" s="44"/>
      <c r="B57" s="44"/>
      <c r="C57" s="45"/>
      <c r="D57" s="45"/>
      <c r="E57" s="43"/>
      <c r="F57" s="43"/>
      <c r="G57" s="47"/>
      <c r="H57" s="47"/>
      <c r="I57" s="47"/>
      <c r="J57" s="47"/>
      <c r="K57" s="47"/>
      <c r="L57" s="44"/>
      <c r="M57" s="47"/>
      <c r="N57" s="47"/>
      <c r="O57" s="44"/>
      <c r="P57" s="44"/>
      <c r="Q57" s="47"/>
      <c r="R57" s="47"/>
      <c r="S57" s="47"/>
      <c r="T57" s="47"/>
      <c r="U57" s="47"/>
      <c r="V57" s="47"/>
      <c r="W57" s="47"/>
      <c r="X57" s="47"/>
      <c r="Y57" s="44"/>
      <c r="Z57" s="44"/>
      <c r="AA57" s="44"/>
      <c r="AB57" s="46"/>
      <c r="AC57" s="44"/>
      <c r="AD57" s="43"/>
      <c r="AE57" s="43"/>
      <c r="AF57" s="43"/>
      <c r="AG57" s="43"/>
      <c r="AH57" s="43"/>
      <c r="AI57" s="43"/>
      <c r="AJ57" s="47"/>
      <c r="AK57" s="43"/>
      <c r="AL57" s="52"/>
      <c r="AM57" s="43"/>
      <c r="AN57" s="43"/>
      <c r="AO57" s="43"/>
      <c r="AP57" s="44"/>
      <c r="AQ57" s="43"/>
      <c r="AY57" s="43"/>
      <c r="BC57" s="49"/>
    </row>
    <row r="58" spans="1:55" ht="14.25">
      <c r="A58" s="44">
        <v>25</v>
      </c>
      <c r="B58" s="44">
        <v>900</v>
      </c>
      <c r="C58" s="45" t="s">
        <v>132</v>
      </c>
      <c r="D58" s="45" t="s">
        <v>133</v>
      </c>
      <c r="E58" s="43" t="s">
        <v>135</v>
      </c>
      <c r="F58" s="43">
        <v>881</v>
      </c>
      <c r="G58" s="47">
        <v>18.3</v>
      </c>
      <c r="H58" s="47">
        <f>ROUND(A58*746*10000/(Q58*V58*1.732*460),1)</f>
        <v>35.9</v>
      </c>
      <c r="I58" s="47">
        <f>ROUND(A58*0.75*746*10000/(S58*W58*1.732*460),1)</f>
        <v>29.3</v>
      </c>
      <c r="J58" s="47"/>
      <c r="K58" s="47"/>
      <c r="L58" s="44">
        <v>182.5</v>
      </c>
      <c r="M58" s="44">
        <f>ROUND(A58*5250/F58,0)</f>
        <v>149</v>
      </c>
      <c r="N58" s="53">
        <f>ROUND(A58*5250*0.75/(B58-((B58-F58)*0.75)),0)</f>
        <v>111</v>
      </c>
      <c r="O58" s="44">
        <v>250</v>
      </c>
      <c r="P58" s="44">
        <v>236</v>
      </c>
      <c r="Q58" s="47">
        <v>91</v>
      </c>
      <c r="R58" s="47">
        <f>A58*746/(A58*746+(AD58*1.1))*100</f>
        <v>90.18830525272547</v>
      </c>
      <c r="S58" s="47">
        <v>90.9</v>
      </c>
      <c r="T58" s="47">
        <f>ROUND(A58*0.75*746/(A58*0.75*746+(AE58*1.2))*100,1)</f>
        <v>89.3</v>
      </c>
      <c r="U58" s="47">
        <v>88.7</v>
      </c>
      <c r="V58" s="47">
        <v>71.6</v>
      </c>
      <c r="W58" s="47">
        <v>66</v>
      </c>
      <c r="X58" s="47">
        <v>55.3</v>
      </c>
      <c r="Y58" s="44">
        <v>30</v>
      </c>
      <c r="Z58" s="44">
        <v>10</v>
      </c>
      <c r="AA58" s="44">
        <f>H58*13</f>
        <v>466.7</v>
      </c>
      <c r="AB58" s="46"/>
      <c r="AC58" s="44">
        <v>59</v>
      </c>
      <c r="AD58" s="43">
        <f>(A58*746-(Q58/100*(A58*746)))/(Q58/100)</f>
        <v>1844.5054945054944</v>
      </c>
      <c r="AE58" s="43">
        <f>(A58*746*0.75-(S58/100*(A58*0.75*746)))/(S58/100)</f>
        <v>1400.288778877887</v>
      </c>
      <c r="AF58" s="43"/>
      <c r="AG58" s="43"/>
      <c r="AH58" s="43"/>
      <c r="AI58" s="43">
        <v>2770</v>
      </c>
      <c r="AJ58" s="43">
        <f>AI58*1</f>
        <v>2770</v>
      </c>
      <c r="AK58" s="43">
        <v>647</v>
      </c>
      <c r="AL58" s="52" t="s">
        <v>107</v>
      </c>
      <c r="AM58" s="43">
        <v>683</v>
      </c>
      <c r="AN58" s="43" t="s">
        <v>108</v>
      </c>
      <c r="AO58" s="43">
        <v>59</v>
      </c>
      <c r="AP58" s="44">
        <v>73</v>
      </c>
      <c r="AQ58" s="43" t="s">
        <v>125</v>
      </c>
      <c r="AR58" s="1" t="s">
        <v>110</v>
      </c>
      <c r="AS58" s="1" t="s">
        <v>110</v>
      </c>
      <c r="AY58" s="43"/>
      <c r="BC58" s="49"/>
    </row>
    <row r="59" spans="1:55" ht="14.25">
      <c r="A59" s="44">
        <v>25</v>
      </c>
      <c r="B59" s="44">
        <v>1200</v>
      </c>
      <c r="C59" s="45" t="s">
        <v>132</v>
      </c>
      <c r="D59" s="45" t="s">
        <v>132</v>
      </c>
      <c r="E59" s="43" t="s">
        <v>134</v>
      </c>
      <c r="F59" s="43">
        <v>1175</v>
      </c>
      <c r="G59" s="47">
        <v>12.5</v>
      </c>
      <c r="H59" s="47">
        <f>ROUND(A59*746*10000/(Q59*V59*1.732*460),1)</f>
        <v>31.1</v>
      </c>
      <c r="I59" s="47">
        <f>ROUND(A59*0.75*746*10000/(S59*W59*1.732*460),1)</f>
        <v>24.4</v>
      </c>
      <c r="J59" s="47"/>
      <c r="K59" s="47"/>
      <c r="L59" s="44">
        <v>182.5</v>
      </c>
      <c r="M59" s="44">
        <f>ROUND(A59*5250/F59,0)</f>
        <v>112</v>
      </c>
      <c r="N59" s="47">
        <f>ROUND(A59*5250*0.75/(B59-((B59-F59)*0.75)),1)</f>
        <v>83.3</v>
      </c>
      <c r="O59" s="44">
        <v>245</v>
      </c>
      <c r="P59" s="44">
        <v>255</v>
      </c>
      <c r="Q59" s="47">
        <v>92.9</v>
      </c>
      <c r="R59" s="47">
        <f>A59*746/(A59*746+(AD59*1.1))*100</f>
        <v>92.24506007347831</v>
      </c>
      <c r="S59" s="47">
        <v>93.5</v>
      </c>
      <c r="T59" s="47">
        <f>ROUND(A59*0.75*746/(A59*0.75*746+(AE59*1.1))*100,1)</f>
        <v>92.9</v>
      </c>
      <c r="U59" s="47">
        <v>93</v>
      </c>
      <c r="V59" s="47">
        <v>80.9</v>
      </c>
      <c r="W59" s="47">
        <v>76.8</v>
      </c>
      <c r="X59" s="47">
        <v>67.7</v>
      </c>
      <c r="Y59" s="44">
        <v>42</v>
      </c>
      <c r="Z59" s="44">
        <v>20</v>
      </c>
      <c r="AA59" s="44">
        <f>H59*13</f>
        <v>404.3</v>
      </c>
      <c r="AB59" s="46">
        <v>9.9</v>
      </c>
      <c r="AC59" s="44">
        <v>59</v>
      </c>
      <c r="AD59" s="43">
        <f>(A59*746-(Q59/100*(A59*746)))/(Q59/100)</f>
        <v>1425.3498385360579</v>
      </c>
      <c r="AE59" s="43">
        <f>(A59*746*0.75-(S59/100*(A59*0.75*746)))/(S59/100)</f>
        <v>972.3930481283422</v>
      </c>
      <c r="AF59" s="43">
        <f>AG59+1</f>
        <v>11</v>
      </c>
      <c r="AG59" s="43">
        <v>10</v>
      </c>
      <c r="AH59" s="43">
        <v>51</v>
      </c>
      <c r="AI59" s="43">
        <v>1730</v>
      </c>
      <c r="AJ59" s="43">
        <f>AI59*$BD$1</f>
        <v>2249</v>
      </c>
      <c r="AK59" s="43">
        <v>324</v>
      </c>
      <c r="AL59" s="52">
        <f>$BD$1*6.5</f>
        <v>8.450000000000001</v>
      </c>
      <c r="AM59" s="43">
        <v>496</v>
      </c>
      <c r="AN59" s="43" t="s">
        <v>108</v>
      </c>
      <c r="AO59" s="43">
        <v>46</v>
      </c>
      <c r="AP59" s="44">
        <v>61</v>
      </c>
      <c r="AQ59" s="43" t="s">
        <v>125</v>
      </c>
      <c r="AR59" s="1">
        <v>10</v>
      </c>
      <c r="AS59" s="1">
        <v>100</v>
      </c>
      <c r="AY59" s="43"/>
      <c r="BC59" s="49"/>
    </row>
    <row r="60" spans="1:55" ht="14.25">
      <c r="A60" s="44">
        <v>25</v>
      </c>
      <c r="B60" s="44">
        <v>1800</v>
      </c>
      <c r="C60" s="45" t="s">
        <v>128</v>
      </c>
      <c r="D60" s="45" t="s">
        <v>128</v>
      </c>
      <c r="E60" s="43" t="s">
        <v>130</v>
      </c>
      <c r="F60" s="43">
        <v>1770</v>
      </c>
      <c r="G60" s="47">
        <v>10.5</v>
      </c>
      <c r="H60" s="47">
        <f>ROUND(A60*746*10000/(Q60*V60*1.732*460),1)</f>
        <v>29.3</v>
      </c>
      <c r="I60" s="47">
        <f>ROUND(A60*0.75*746*10000/(S60*W60*1.732*460),1)</f>
        <v>22.7</v>
      </c>
      <c r="J60" s="47"/>
      <c r="K60" s="47"/>
      <c r="L60" s="44">
        <v>182.5</v>
      </c>
      <c r="M60" s="44">
        <f>ROUND(A60*5250/F60,1)</f>
        <v>74.2</v>
      </c>
      <c r="N60" s="47">
        <f>ROUND(A60*5250*0.75/(B60-((B60-F60)*0.75)),1)</f>
        <v>55.4</v>
      </c>
      <c r="O60" s="44">
        <v>240</v>
      </c>
      <c r="P60" s="44">
        <v>260</v>
      </c>
      <c r="Q60" s="47">
        <v>93.5</v>
      </c>
      <c r="R60" s="47">
        <f>A60*746/(A60*746+(AD60*1.1))*100</f>
        <v>92.89617486338798</v>
      </c>
      <c r="S60" s="47">
        <v>93.7</v>
      </c>
      <c r="T60" s="47">
        <f>ROUND(A60*0.75*746/(A60*0.75*746+(AE60*1.1))*100,1)</f>
        <v>93.1</v>
      </c>
      <c r="U60" s="47">
        <v>93.1</v>
      </c>
      <c r="V60" s="47">
        <v>85.5</v>
      </c>
      <c r="W60" s="47">
        <v>82.6</v>
      </c>
      <c r="X60" s="47">
        <v>75</v>
      </c>
      <c r="Y60" s="44">
        <v>21</v>
      </c>
      <c r="Z60" s="44">
        <v>8</v>
      </c>
      <c r="AA60" s="44">
        <f>H60*13</f>
        <v>380.90000000000003</v>
      </c>
      <c r="AB60" s="46">
        <v>8.3</v>
      </c>
      <c r="AC60" s="44">
        <v>67</v>
      </c>
      <c r="AD60" s="43">
        <f>(A60*746-(Q60/100*(A60*746)))/(Q60/100)</f>
        <v>1296.524064171123</v>
      </c>
      <c r="AE60" s="43">
        <f>(A60*746*0.75-(S60/100*(A60*0.75*746)))/(S60/100)</f>
        <v>940.461579509071</v>
      </c>
      <c r="AF60" s="43">
        <f>AG60+1</f>
        <v>10</v>
      </c>
      <c r="AG60" s="43">
        <v>9</v>
      </c>
      <c r="AH60" s="43">
        <v>58</v>
      </c>
      <c r="AI60" s="43">
        <v>400</v>
      </c>
      <c r="AJ60" s="43">
        <f>AI60*$BD$1</f>
        <v>520</v>
      </c>
      <c r="AK60" s="43">
        <v>122</v>
      </c>
      <c r="AL60" s="52">
        <f>$BD$1*2.4</f>
        <v>3.1200000000000006</v>
      </c>
      <c r="AM60" s="43">
        <v>370</v>
      </c>
      <c r="AN60" s="43" t="s">
        <v>108</v>
      </c>
      <c r="AO60" s="43">
        <v>51</v>
      </c>
      <c r="AP60" s="44">
        <v>67</v>
      </c>
      <c r="AQ60" s="43" t="s">
        <v>125</v>
      </c>
      <c r="AR60" s="1">
        <v>30</v>
      </c>
      <c r="AS60" s="1">
        <v>90</v>
      </c>
      <c r="AY60" s="43"/>
      <c r="BC60" s="49"/>
    </row>
    <row r="61" spans="1:55" ht="14.25">
      <c r="A61" s="44">
        <v>25</v>
      </c>
      <c r="B61" s="44">
        <v>3600</v>
      </c>
      <c r="C61" s="45" t="s">
        <v>128</v>
      </c>
      <c r="D61" s="45" t="s">
        <v>128</v>
      </c>
      <c r="E61" s="43" t="s">
        <v>136</v>
      </c>
      <c r="F61" s="43">
        <v>3529</v>
      </c>
      <c r="G61" s="47">
        <v>5</v>
      </c>
      <c r="H61" s="47">
        <f>ROUND(A61*746*10000/(Q61*V61*1.732*460),1)</f>
        <v>27.2</v>
      </c>
      <c r="I61" s="47">
        <f>ROUND(A61*0.75*746*10000/(S61*W61*1.732*460),1)</f>
        <v>20.4</v>
      </c>
      <c r="J61" s="47"/>
      <c r="K61" s="47"/>
      <c r="L61" s="44">
        <v>182.5</v>
      </c>
      <c r="M61" s="44">
        <f>ROUND(A61*5250/F61,1)</f>
        <v>37.2</v>
      </c>
      <c r="N61" s="47">
        <f>ROUND(A61*5250*0.75/(B61-((B61-F61)*0.75)),1)</f>
        <v>27.8</v>
      </c>
      <c r="O61" s="44">
        <v>260</v>
      </c>
      <c r="P61" s="44">
        <v>250</v>
      </c>
      <c r="Q61" s="47">
        <v>92.4</v>
      </c>
      <c r="R61" s="47">
        <f>A61*746/(A61*746+(AD61*1.1))*100</f>
        <v>91.70305676855897</v>
      </c>
      <c r="S61" s="47">
        <v>93</v>
      </c>
      <c r="T61" s="47">
        <f>ROUND(A61*0.75*746/(A61*0.75*746+(AE61*1.1))*100,1)</f>
        <v>92.4</v>
      </c>
      <c r="U61" s="47">
        <v>92</v>
      </c>
      <c r="V61" s="47">
        <v>93.2</v>
      </c>
      <c r="W61" s="47">
        <v>92.4</v>
      </c>
      <c r="X61" s="47">
        <v>89.6</v>
      </c>
      <c r="Y61" s="44">
        <v>21</v>
      </c>
      <c r="Z61" s="44">
        <v>8</v>
      </c>
      <c r="AA61" s="44">
        <f>H61*13</f>
        <v>353.59999999999997</v>
      </c>
      <c r="AB61" s="46">
        <v>4</v>
      </c>
      <c r="AC61" s="44">
        <v>81</v>
      </c>
      <c r="AD61" s="43">
        <f>(A61*746-(Q61/100*(A61*746)))/(Q61/100)</f>
        <v>1533.9826839826815</v>
      </c>
      <c r="AE61" s="43">
        <f>(A61*746*0.75-(S61/100*(A61*0.75*746)))/(S61/100)</f>
        <v>1052.8225806451612</v>
      </c>
      <c r="AF61" s="43">
        <f>AG61+1</f>
        <v>6</v>
      </c>
      <c r="AG61" s="43">
        <v>5</v>
      </c>
      <c r="AH61" s="43">
        <v>115</v>
      </c>
      <c r="AI61" s="43">
        <v>106</v>
      </c>
      <c r="AJ61" s="44">
        <f>AI61*$BD$1</f>
        <v>137.8</v>
      </c>
      <c r="AK61" s="43">
        <v>26</v>
      </c>
      <c r="AL61" s="52">
        <f>$BD$1*2.5</f>
        <v>3.25</v>
      </c>
      <c r="AM61" s="43">
        <v>411</v>
      </c>
      <c r="AN61" s="43" t="s">
        <v>108</v>
      </c>
      <c r="AO61" s="43">
        <v>53</v>
      </c>
      <c r="AP61" s="44">
        <v>75</v>
      </c>
      <c r="AQ61" s="43" t="s">
        <v>125</v>
      </c>
      <c r="AR61" s="1">
        <v>60</v>
      </c>
      <c r="AS61" s="1">
        <v>80</v>
      </c>
      <c r="AY61" s="43"/>
      <c r="BC61" s="49"/>
    </row>
    <row r="62" spans="1:55" ht="14.25">
      <c r="A62" s="44"/>
      <c r="B62" s="43"/>
      <c r="C62" s="51"/>
      <c r="D62" s="51"/>
      <c r="E62" s="43"/>
      <c r="F62" s="43"/>
      <c r="G62" s="47"/>
      <c r="H62" s="43"/>
      <c r="I62" s="47"/>
      <c r="J62" s="47"/>
      <c r="K62" s="47"/>
      <c r="L62" s="44"/>
      <c r="M62" s="52"/>
      <c r="N62" s="5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6"/>
      <c r="AC62" s="44"/>
      <c r="AD62" s="43"/>
      <c r="AE62" s="43"/>
      <c r="AF62" s="43"/>
      <c r="AG62" s="43"/>
      <c r="AH62" s="43"/>
      <c r="AI62" s="43"/>
      <c r="AJ62" s="44"/>
      <c r="AK62" s="43"/>
      <c r="AL62" s="52"/>
      <c r="AM62" s="43"/>
      <c r="AN62" s="43"/>
      <c r="AO62" s="43"/>
      <c r="AP62" s="43"/>
      <c r="AQ62" s="43"/>
      <c r="AY62" s="43"/>
      <c r="BC62" s="49"/>
    </row>
    <row r="63" spans="1:55" ht="14.25">
      <c r="A63" s="44">
        <v>30</v>
      </c>
      <c r="B63" s="44">
        <v>900</v>
      </c>
      <c r="C63" s="45" t="s">
        <v>137</v>
      </c>
      <c r="D63" s="45" t="s">
        <v>132</v>
      </c>
      <c r="E63" s="43" t="s">
        <v>138</v>
      </c>
      <c r="F63" s="43">
        <v>879</v>
      </c>
      <c r="G63" s="47">
        <v>20.4</v>
      </c>
      <c r="H63" s="47">
        <f>ROUND(A63*746*10000/(Q63*V63*1.732*460),1)</f>
        <v>41.6</v>
      </c>
      <c r="I63" s="47">
        <f>ROUND(A63*0.75*746*10000/(S63*W63*1.732*460),1)</f>
        <v>33.6</v>
      </c>
      <c r="J63" s="47"/>
      <c r="K63" s="47"/>
      <c r="L63" s="44">
        <v>217.5</v>
      </c>
      <c r="M63" s="44">
        <f>ROUND(A63*5250/F63,0)</f>
        <v>179</v>
      </c>
      <c r="N63" s="53">
        <f>ROUND(A63*5250*0.75/(B63-((B63-F63)*0.75)),0)</f>
        <v>134</v>
      </c>
      <c r="O63" s="44">
        <v>252</v>
      </c>
      <c r="P63" s="44">
        <v>203</v>
      </c>
      <c r="Q63" s="47">
        <v>91</v>
      </c>
      <c r="R63" s="47">
        <f>A63*746/(A63*746+(AD63*1.1))*100</f>
        <v>90.18830525272547</v>
      </c>
      <c r="S63" s="47">
        <v>91</v>
      </c>
      <c r="T63" s="47">
        <f>ROUND(A63*0.75*746/(A63*0.75*746+(AE63*1.2))*100,1)</f>
        <v>89.4</v>
      </c>
      <c r="U63" s="47">
        <v>89.5</v>
      </c>
      <c r="V63" s="47">
        <v>74.2</v>
      </c>
      <c r="W63" s="47">
        <v>69</v>
      </c>
      <c r="X63" s="47">
        <v>58.4</v>
      </c>
      <c r="Y63" s="44">
        <v>29</v>
      </c>
      <c r="Z63" s="44">
        <v>10</v>
      </c>
      <c r="AA63" s="44">
        <f>H63*13</f>
        <v>540.8000000000001</v>
      </c>
      <c r="AB63" s="46"/>
      <c r="AC63" s="43">
        <v>59</v>
      </c>
      <c r="AD63" s="43">
        <f>(A63*746-(Q63/100*(A63*746)))/(Q63/100)</f>
        <v>2213.4065934065943</v>
      </c>
      <c r="AE63" s="43">
        <f>(A63*746*0.75-(S63/100*(A63*0.75*746)))/(S63/100)</f>
        <v>1660.0549450549447</v>
      </c>
      <c r="AF63" s="43"/>
      <c r="AG63" s="43"/>
      <c r="AH63" s="43"/>
      <c r="AI63" s="43">
        <v>2900</v>
      </c>
      <c r="AJ63" s="44">
        <f>AI63*1</f>
        <v>2900</v>
      </c>
      <c r="AK63" s="43">
        <v>769</v>
      </c>
      <c r="AL63" s="52" t="s">
        <v>107</v>
      </c>
      <c r="AM63" s="43">
        <v>816</v>
      </c>
      <c r="AN63" s="43" t="s">
        <v>108</v>
      </c>
      <c r="AO63" s="43">
        <v>53</v>
      </c>
      <c r="AP63" s="44">
        <v>67</v>
      </c>
      <c r="AQ63" s="43" t="s">
        <v>125</v>
      </c>
      <c r="AR63" s="1" t="s">
        <v>110</v>
      </c>
      <c r="AS63" s="1" t="s">
        <v>110</v>
      </c>
      <c r="AY63" s="43"/>
      <c r="BC63" s="49"/>
    </row>
    <row r="64" spans="1:55" ht="14.25">
      <c r="A64" s="44">
        <v>30</v>
      </c>
      <c r="B64" s="44">
        <v>1200</v>
      </c>
      <c r="C64" s="45" t="s">
        <v>132</v>
      </c>
      <c r="D64" s="45" t="s">
        <v>132</v>
      </c>
      <c r="E64" s="43" t="s">
        <v>135</v>
      </c>
      <c r="F64" s="43">
        <v>1177</v>
      </c>
      <c r="G64" s="47">
        <v>14</v>
      </c>
      <c r="H64" s="47">
        <f>ROUND(A64*746*10000/(Q64*V64*1.732*460),1)</f>
        <v>37</v>
      </c>
      <c r="I64" s="47">
        <f>ROUND(A64*0.75*746*10000/(S64*W64*1.732*460),1)</f>
        <v>29</v>
      </c>
      <c r="J64" s="47"/>
      <c r="K64" s="47"/>
      <c r="L64" s="44">
        <v>217.5</v>
      </c>
      <c r="M64" s="44">
        <f>ROUND(A64*5250/F64,0)</f>
        <v>134</v>
      </c>
      <c r="N64" s="53">
        <f>ROUND(A64*5250*0.75/(B64-((B64-F64)*0.75)),0)</f>
        <v>100</v>
      </c>
      <c r="O64" s="44">
        <v>245</v>
      </c>
      <c r="P64" s="44">
        <v>254</v>
      </c>
      <c r="Q64" s="47">
        <v>93.6</v>
      </c>
      <c r="R64" s="47">
        <f>A64*746/(A64*746+(AD64*1.1))*100</f>
        <v>93.0047694753577</v>
      </c>
      <c r="S64" s="47">
        <v>94</v>
      </c>
      <c r="T64" s="47">
        <f>ROUND(A64*0.75*746/(A64*0.75*746+(AE64*1.1))*100,1)</f>
        <v>93.4</v>
      </c>
      <c r="U64" s="47">
        <v>93.7</v>
      </c>
      <c r="V64" s="47">
        <v>81.2</v>
      </c>
      <c r="W64" s="47">
        <v>77.2</v>
      </c>
      <c r="X64" s="47">
        <v>68.1</v>
      </c>
      <c r="Y64" s="44">
        <v>42</v>
      </c>
      <c r="Z64" s="44">
        <v>18</v>
      </c>
      <c r="AA64" s="44">
        <f>H64*13</f>
        <v>481</v>
      </c>
      <c r="AB64" s="46">
        <v>11.1</v>
      </c>
      <c r="AC64" s="44">
        <v>61</v>
      </c>
      <c r="AD64" s="43">
        <f>(A64*746-(Q64/100*(A64*746)))/(Q64/100)</f>
        <v>1530.25641025641</v>
      </c>
      <c r="AE64" s="43">
        <f>(A64*746*0.75-(S64/100*(A64*0.75*746)))/(S64/100)</f>
        <v>1071.3829787234047</v>
      </c>
      <c r="AF64" s="43">
        <f>AG64+1</f>
        <v>10</v>
      </c>
      <c r="AG64" s="43">
        <v>9</v>
      </c>
      <c r="AH64" s="43">
        <v>53</v>
      </c>
      <c r="AI64" s="43">
        <v>1840</v>
      </c>
      <c r="AJ64" s="44">
        <f>AI64*$BD$1</f>
        <v>2392</v>
      </c>
      <c r="AK64" s="43">
        <v>384</v>
      </c>
      <c r="AL64" s="47">
        <f>$BD$1*7.7</f>
        <v>10.01</v>
      </c>
      <c r="AM64" s="43">
        <v>539</v>
      </c>
      <c r="AN64" s="43" t="s">
        <v>108</v>
      </c>
      <c r="AO64" s="43">
        <v>49</v>
      </c>
      <c r="AP64" s="44">
        <v>63</v>
      </c>
      <c r="AQ64" s="43" t="s">
        <v>125</v>
      </c>
      <c r="AR64" s="1">
        <v>20</v>
      </c>
      <c r="AS64" s="1">
        <v>90</v>
      </c>
      <c r="AY64" s="43"/>
      <c r="BC64" s="49"/>
    </row>
    <row r="65" spans="1:55" ht="14.25">
      <c r="A65" s="44">
        <v>30</v>
      </c>
      <c r="B65" s="44">
        <v>1800</v>
      </c>
      <c r="C65" s="45" t="s">
        <v>128</v>
      </c>
      <c r="D65" s="45" t="s">
        <v>128</v>
      </c>
      <c r="E65" s="43" t="s">
        <v>131</v>
      </c>
      <c r="F65" s="43">
        <v>1770</v>
      </c>
      <c r="G65" s="47">
        <v>13</v>
      </c>
      <c r="H65" s="47">
        <f>ROUND(A65*746*10000/(Q65*V65*1.732*460),1)</f>
        <v>35.1</v>
      </c>
      <c r="I65" s="47">
        <f>ROUND(A65*0.75*746*10000/(S65*W65*1.732*460),1)</f>
        <v>27.2</v>
      </c>
      <c r="J65" s="47"/>
      <c r="K65" s="47"/>
      <c r="L65" s="44">
        <v>217.5</v>
      </c>
      <c r="M65" s="47">
        <f>ROUND(A65*5250/F65,1)</f>
        <v>89</v>
      </c>
      <c r="N65" s="47">
        <f>ROUND(A65*5250*0.75/(B65-((B65-F65)*0.75)),1)</f>
        <v>66.5</v>
      </c>
      <c r="O65" s="44">
        <v>255</v>
      </c>
      <c r="P65" s="44">
        <v>275</v>
      </c>
      <c r="Q65" s="47">
        <v>93.4</v>
      </c>
      <c r="R65" s="47">
        <v>93</v>
      </c>
      <c r="S65" s="47">
        <v>93.6</v>
      </c>
      <c r="T65" s="47">
        <f>ROUND(A65*0.75*746/(A65*0.75*746+(AE65*1.1))*100,1)</f>
        <v>93</v>
      </c>
      <c r="U65" s="47">
        <v>93</v>
      </c>
      <c r="V65" s="47">
        <v>85.7</v>
      </c>
      <c r="W65" s="47">
        <v>82.7</v>
      </c>
      <c r="X65" s="47">
        <v>75.6</v>
      </c>
      <c r="Y65" s="44">
        <v>20</v>
      </c>
      <c r="Z65" s="44">
        <v>7</v>
      </c>
      <c r="AA65" s="44">
        <f>H65*13</f>
        <v>456.3</v>
      </c>
      <c r="AB65" s="46">
        <v>10.3</v>
      </c>
      <c r="AC65" s="44">
        <v>69</v>
      </c>
      <c r="AD65" s="43">
        <f>(A65*746-(Q65/100*(A65*746)))/(Q65/100)</f>
        <v>1581.4561027837237</v>
      </c>
      <c r="AE65" s="43">
        <f>(A65*746*0.75-(S65/100*(A65*0.75*746)))/(S65/100)</f>
        <v>1147.6923076923094</v>
      </c>
      <c r="AF65" s="43">
        <f>AG65+1</f>
        <v>9</v>
      </c>
      <c r="AG65" s="43">
        <v>8</v>
      </c>
      <c r="AH65" s="43">
        <v>60</v>
      </c>
      <c r="AI65" s="43">
        <v>443</v>
      </c>
      <c r="AJ65" s="44">
        <f>AI65*$BD$1</f>
        <v>575.9</v>
      </c>
      <c r="AK65" s="43">
        <v>144</v>
      </c>
      <c r="AL65" s="52">
        <f>$BD$1*3.1</f>
        <v>4.03</v>
      </c>
      <c r="AM65" s="43">
        <v>404</v>
      </c>
      <c r="AN65" s="43" t="s">
        <v>108</v>
      </c>
      <c r="AO65" s="43">
        <v>63</v>
      </c>
      <c r="AP65" s="44">
        <v>81</v>
      </c>
      <c r="AQ65" s="43" t="s">
        <v>125</v>
      </c>
      <c r="AR65" s="1">
        <v>60</v>
      </c>
      <c r="AS65" s="1">
        <v>80</v>
      </c>
      <c r="AY65" s="43"/>
      <c r="BC65" s="49"/>
    </row>
    <row r="66" spans="1:55" ht="14.25">
      <c r="A66" s="44">
        <v>30</v>
      </c>
      <c r="B66" s="44">
        <v>3600</v>
      </c>
      <c r="C66" s="45" t="s">
        <v>128</v>
      </c>
      <c r="D66" s="45" t="s">
        <v>128</v>
      </c>
      <c r="E66" s="43" t="s">
        <v>139</v>
      </c>
      <c r="F66" s="43">
        <v>3524</v>
      </c>
      <c r="G66" s="47">
        <v>6</v>
      </c>
      <c r="H66" s="47">
        <f>ROUND(A66*746*10000/(Q66*V66*1.732*460),1)</f>
        <v>32.5</v>
      </c>
      <c r="I66" s="47">
        <f>ROUND(A66*0.75*746*10000/(S66*W66*1.732*460),1)</f>
        <v>24.4</v>
      </c>
      <c r="J66" s="47"/>
      <c r="K66" s="47"/>
      <c r="L66" s="44">
        <v>217.5</v>
      </c>
      <c r="M66" s="47">
        <f>ROUND(A66*5250/F66,1)</f>
        <v>44.7</v>
      </c>
      <c r="N66" s="47">
        <f>ROUND(A66*5250*0.75/(B66-((B66-F66)*0.75)),1)</f>
        <v>33.3</v>
      </c>
      <c r="O66" s="44">
        <v>260</v>
      </c>
      <c r="P66" s="44">
        <v>250</v>
      </c>
      <c r="Q66" s="47">
        <v>92.4</v>
      </c>
      <c r="R66" s="47">
        <f>A66*746/(A66*746+(AD66*1.1))*100</f>
        <v>91.70305676855895</v>
      </c>
      <c r="S66" s="47">
        <v>93.1</v>
      </c>
      <c r="T66" s="47">
        <f>ROUND(A66*0.75*746/(A66*0.75*746+(AE66*1.1))*100,1)</f>
        <v>92.5</v>
      </c>
      <c r="U66" s="47">
        <v>92.1</v>
      </c>
      <c r="V66" s="47">
        <v>93.5</v>
      </c>
      <c r="W66" s="47">
        <v>92.8</v>
      </c>
      <c r="X66" s="47">
        <v>90.5</v>
      </c>
      <c r="Y66" s="44">
        <v>20</v>
      </c>
      <c r="Z66" s="44">
        <v>7</v>
      </c>
      <c r="AA66" s="44">
        <f>H66*13</f>
        <v>422.5</v>
      </c>
      <c r="AB66" s="46">
        <v>4.7</v>
      </c>
      <c r="AC66" s="44">
        <v>82</v>
      </c>
      <c r="AD66" s="43">
        <f>(A66*746-(Q66/100*(A66*746)))/(Q66/100)</f>
        <v>1840.779220779218</v>
      </c>
      <c r="AE66" s="43">
        <f>(A66*746*0.75-(S66/100*(A66*0.75*746)))/(S66/100)</f>
        <v>1244.0010741138572</v>
      </c>
      <c r="AF66" s="43">
        <f>AG66+1</f>
        <v>5</v>
      </c>
      <c r="AG66" s="43">
        <v>4</v>
      </c>
      <c r="AH66" s="43">
        <v>120</v>
      </c>
      <c r="AI66" s="43">
        <v>112</v>
      </c>
      <c r="AJ66" s="44">
        <f>AI66*$BD$1</f>
        <v>145.6</v>
      </c>
      <c r="AK66" s="43">
        <v>31</v>
      </c>
      <c r="AL66" s="52">
        <f>$BD$1*2.7</f>
        <v>3.5100000000000002</v>
      </c>
      <c r="AM66" s="43">
        <v>462</v>
      </c>
      <c r="AN66" s="43" t="s">
        <v>108</v>
      </c>
      <c r="AO66" s="43">
        <v>58</v>
      </c>
      <c r="AP66" s="44">
        <v>75</v>
      </c>
      <c r="AQ66" s="43" t="s">
        <v>125</v>
      </c>
      <c r="AR66" s="1">
        <v>60</v>
      </c>
      <c r="AS66" s="1">
        <v>80</v>
      </c>
      <c r="AY66" s="43"/>
      <c r="BC66" s="49"/>
    </row>
    <row r="67" spans="1:55" ht="14.25">
      <c r="A67" s="44"/>
      <c r="B67" s="43"/>
      <c r="C67" s="51"/>
      <c r="D67" s="51"/>
      <c r="E67" s="43"/>
      <c r="F67" s="43"/>
      <c r="G67" s="47"/>
      <c r="H67" s="43"/>
      <c r="I67" s="47"/>
      <c r="J67" s="47"/>
      <c r="K67" s="47"/>
      <c r="L67" s="44"/>
      <c r="M67" s="52"/>
      <c r="N67" s="52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6"/>
      <c r="AC67" s="43"/>
      <c r="AD67" s="43"/>
      <c r="AE67" s="43"/>
      <c r="AF67" s="43"/>
      <c r="AG67" s="43"/>
      <c r="AH67" s="43"/>
      <c r="AI67" s="43"/>
      <c r="AJ67" s="44"/>
      <c r="AK67" s="43"/>
      <c r="AL67" s="52"/>
      <c r="AM67" s="43"/>
      <c r="AN67" s="43"/>
      <c r="AO67" s="43"/>
      <c r="AP67" s="43"/>
      <c r="AQ67" s="43"/>
      <c r="AY67" s="43"/>
      <c r="BC67" s="49"/>
    </row>
    <row r="68" spans="1:55" ht="14.25">
      <c r="A68" s="44">
        <v>40</v>
      </c>
      <c r="B68" s="44">
        <v>900</v>
      </c>
      <c r="C68" s="45" t="s">
        <v>137</v>
      </c>
      <c r="D68" s="45" t="s">
        <v>132</v>
      </c>
      <c r="E68" s="43" t="s">
        <v>140</v>
      </c>
      <c r="F68" s="43">
        <v>877</v>
      </c>
      <c r="G68" s="47">
        <v>24.5</v>
      </c>
      <c r="H68" s="47">
        <f>ROUND(A68*746*10000/(Q68*V68*1.732*460),1)</f>
        <v>54</v>
      </c>
      <c r="I68" s="47">
        <f>ROUND(A68*0.75*746*10000/(S68*W68*1.732*460),1)</f>
        <v>42.8</v>
      </c>
      <c r="J68" s="47"/>
      <c r="K68" s="47"/>
      <c r="L68" s="44">
        <v>272.5</v>
      </c>
      <c r="M68" s="44">
        <f>ROUND(A68*5250/F68,0)</f>
        <v>239</v>
      </c>
      <c r="N68" s="53">
        <f>ROUND(A68*5250*0.75/(B68-((B68-F68)*0.75)),0)</f>
        <v>178</v>
      </c>
      <c r="O68" s="44">
        <v>220</v>
      </c>
      <c r="P68" s="44">
        <v>213</v>
      </c>
      <c r="Q68" s="47">
        <v>91</v>
      </c>
      <c r="R68" s="47">
        <f>A68*746/(A68*746+(AD68*1.1))*100</f>
        <v>90.18830525272548</v>
      </c>
      <c r="S68" s="47">
        <v>91.7</v>
      </c>
      <c r="T68" s="47">
        <f>ROUND(A68*0.75*746/(A68*0.75*746+(AE68*1.2))*100,1)</f>
        <v>90.2</v>
      </c>
      <c r="U68" s="47">
        <v>91.3</v>
      </c>
      <c r="V68" s="47">
        <v>76.2</v>
      </c>
      <c r="W68" s="47">
        <v>71.5</v>
      </c>
      <c r="X68" s="47">
        <v>61.6</v>
      </c>
      <c r="Y68" s="44">
        <v>29</v>
      </c>
      <c r="Z68" s="44">
        <v>11</v>
      </c>
      <c r="AA68" s="44">
        <f>H68*13</f>
        <v>702</v>
      </c>
      <c r="AB68" s="46"/>
      <c r="AC68" s="44">
        <v>60</v>
      </c>
      <c r="AD68" s="43">
        <f>(A68*746-(Q68/100*(A68*746)))/(Q68/100)</f>
        <v>2951.2087912087895</v>
      </c>
      <c r="AE68" s="43">
        <f>(A68*746*0.75-(S68/100*(A68*0.75*746)))/(S68/100)</f>
        <v>2025.6706652126509</v>
      </c>
      <c r="AF68" s="43"/>
      <c r="AG68" s="43"/>
      <c r="AH68" s="43"/>
      <c r="AI68" s="43">
        <v>3170</v>
      </c>
      <c r="AJ68" s="44">
        <f>AI68*1</f>
        <v>3170</v>
      </c>
      <c r="AK68" s="43">
        <v>1007</v>
      </c>
      <c r="AL68" s="52" t="s">
        <v>107</v>
      </c>
      <c r="AM68" s="43">
        <v>920</v>
      </c>
      <c r="AN68" s="43" t="s">
        <v>108</v>
      </c>
      <c r="AO68" s="43">
        <v>50</v>
      </c>
      <c r="AP68" s="44">
        <v>64</v>
      </c>
      <c r="AQ68" s="43" t="s">
        <v>125</v>
      </c>
      <c r="AR68" s="1" t="s">
        <v>110</v>
      </c>
      <c r="AS68" s="1" t="s">
        <v>110</v>
      </c>
      <c r="AY68" s="43"/>
      <c r="BC68" s="49"/>
    </row>
    <row r="69" spans="1:55" ht="14.25">
      <c r="A69" s="44">
        <v>40</v>
      </c>
      <c r="B69" s="44">
        <v>1200</v>
      </c>
      <c r="C69" s="45" t="s">
        <v>137</v>
      </c>
      <c r="D69" s="45" t="s">
        <v>132</v>
      </c>
      <c r="E69" s="43" t="s">
        <v>138</v>
      </c>
      <c r="F69" s="43">
        <v>1176</v>
      </c>
      <c r="G69" s="47">
        <v>14.5</v>
      </c>
      <c r="H69" s="47">
        <f>ROUND(A69*746*10000/(Q69*V69*1.732*460),1)</f>
        <v>46.9</v>
      </c>
      <c r="I69" s="47">
        <f>ROUND(A69*0.75*746*10000/(S69*W69*1.732*460),1)</f>
        <v>36.1</v>
      </c>
      <c r="J69" s="47"/>
      <c r="K69" s="47"/>
      <c r="L69" s="44">
        <v>290</v>
      </c>
      <c r="M69" s="44">
        <f>ROUND(A69*5250/F69,0)</f>
        <v>179</v>
      </c>
      <c r="N69" s="53">
        <f>ROUND(A69*5250*0.75/(B69-((B69-F69)*0.75)),0)</f>
        <v>133</v>
      </c>
      <c r="O69" s="44">
        <v>245</v>
      </c>
      <c r="P69" s="44">
        <v>260</v>
      </c>
      <c r="Q69" s="47">
        <v>94</v>
      </c>
      <c r="R69" s="47">
        <v>93.6</v>
      </c>
      <c r="S69" s="47">
        <v>94.6</v>
      </c>
      <c r="T69" s="47">
        <f>ROUND(A69*0.75*746/(A69*0.75*746+(AE69*1.1))*100,1)</f>
        <v>94.1</v>
      </c>
      <c r="U69" s="47">
        <v>94.5</v>
      </c>
      <c r="V69" s="47">
        <v>84.9</v>
      </c>
      <c r="W69" s="47">
        <v>82.2</v>
      </c>
      <c r="X69" s="47">
        <v>74.8</v>
      </c>
      <c r="Y69" s="44">
        <v>40</v>
      </c>
      <c r="Z69" s="44">
        <v>20</v>
      </c>
      <c r="AA69" s="44">
        <f>H69*13</f>
        <v>609.6999999999999</v>
      </c>
      <c r="AB69" s="46">
        <v>11.6</v>
      </c>
      <c r="AC69" s="44">
        <v>66</v>
      </c>
      <c r="AD69" s="43">
        <f>(A69*746-(Q69/100*(A69*746)))/(Q69/100)</f>
        <v>1904.6808510638314</v>
      </c>
      <c r="AE69" s="43">
        <f>(A69*746*0.75-(S69/100*(A69*0.75*746)))/(S69/100)</f>
        <v>1277.5052854122628</v>
      </c>
      <c r="AF69" s="43">
        <f>AG69+1</f>
        <v>10</v>
      </c>
      <c r="AG69" s="43">
        <v>9</v>
      </c>
      <c r="AH69" s="43">
        <v>57</v>
      </c>
      <c r="AI69" s="43">
        <v>1900</v>
      </c>
      <c r="AJ69" s="44">
        <f>AI69*$BD$1</f>
        <v>2470</v>
      </c>
      <c r="AK69" s="43">
        <v>503</v>
      </c>
      <c r="AL69" s="47">
        <f>$BD$1*13.6</f>
        <v>17.680000000000003</v>
      </c>
      <c r="AM69" s="43">
        <v>714</v>
      </c>
      <c r="AN69" s="43" t="s">
        <v>108</v>
      </c>
      <c r="AO69" s="43">
        <v>51</v>
      </c>
      <c r="AP69" s="44">
        <v>69</v>
      </c>
      <c r="AQ69" s="43" t="s">
        <v>125</v>
      </c>
      <c r="AR69" s="1">
        <v>30</v>
      </c>
      <c r="AS69" s="1">
        <v>85</v>
      </c>
      <c r="AY69" s="43"/>
      <c r="BC69" s="49"/>
    </row>
    <row r="70" spans="1:55" ht="14.25">
      <c r="A70" s="44">
        <v>40</v>
      </c>
      <c r="B70" s="44">
        <v>1800</v>
      </c>
      <c r="C70" s="45" t="s">
        <v>132</v>
      </c>
      <c r="D70" s="45" t="s">
        <v>132</v>
      </c>
      <c r="E70" s="43" t="s">
        <v>134</v>
      </c>
      <c r="F70" s="43">
        <v>1770</v>
      </c>
      <c r="G70" s="47">
        <v>16</v>
      </c>
      <c r="H70" s="47">
        <f>ROUND(A70*746*10000/(Q70*V70*1.732*460),1)</f>
        <v>47.9</v>
      </c>
      <c r="I70" s="47">
        <f>ROUND(A70*0.75*746*10000/(S70*W70*1.732*460),1)</f>
        <v>37</v>
      </c>
      <c r="J70" s="47"/>
      <c r="K70" s="47"/>
      <c r="L70" s="44">
        <v>290</v>
      </c>
      <c r="M70" s="44">
        <f>ROUND(A70*5250/F70,0)</f>
        <v>119</v>
      </c>
      <c r="N70" s="47">
        <f>ROUND(A70*5250*0.75/(B70-((B70-F70)*0.75)),1)</f>
        <v>88.6</v>
      </c>
      <c r="O70" s="44">
        <v>250</v>
      </c>
      <c r="P70" s="44">
        <v>260</v>
      </c>
      <c r="Q70" s="47">
        <v>94</v>
      </c>
      <c r="R70" s="47">
        <v>93.6</v>
      </c>
      <c r="S70" s="47">
        <v>94.4</v>
      </c>
      <c r="T70" s="47">
        <f>ROUND(A70*0.75*746/(A70*0.75*746+(AE70*1.1))*100,1)</f>
        <v>93.9</v>
      </c>
      <c r="U70" s="47">
        <v>94.1</v>
      </c>
      <c r="V70" s="47">
        <v>83.2</v>
      </c>
      <c r="W70" s="47">
        <v>80.4</v>
      </c>
      <c r="X70" s="47">
        <v>72.9</v>
      </c>
      <c r="Y70" s="44">
        <v>25</v>
      </c>
      <c r="Z70" s="44">
        <v>11</v>
      </c>
      <c r="AA70" s="44">
        <f>H70*13</f>
        <v>622.6999999999999</v>
      </c>
      <c r="AB70" s="46">
        <v>12.7</v>
      </c>
      <c r="AC70" s="44">
        <v>71</v>
      </c>
      <c r="AD70" s="43">
        <f>(A70*746-(Q70/100*(A70*746)))/(Q70/100)</f>
        <v>1904.6808510638314</v>
      </c>
      <c r="AE70" s="43">
        <f>(A70*746*0.75-(S70/100*(A70*0.75*746)))/(S70/100)</f>
        <v>1327.6271186440665</v>
      </c>
      <c r="AF70" s="43">
        <f>AG70+1</f>
        <v>9</v>
      </c>
      <c r="AG70" s="43">
        <v>8</v>
      </c>
      <c r="AH70" s="43">
        <v>65</v>
      </c>
      <c r="AI70" s="43">
        <v>593</v>
      </c>
      <c r="AJ70" s="44">
        <f>AI70*$BD$1</f>
        <v>770.9</v>
      </c>
      <c r="AK70" s="43">
        <v>189</v>
      </c>
      <c r="AL70" s="52">
        <f>$BD$1*6.5</f>
        <v>8.450000000000001</v>
      </c>
      <c r="AM70" s="43">
        <v>568</v>
      </c>
      <c r="AN70" s="43" t="s">
        <v>108</v>
      </c>
      <c r="AO70" s="43">
        <v>54</v>
      </c>
      <c r="AP70" s="44">
        <v>67</v>
      </c>
      <c r="AQ70" s="43" t="s">
        <v>125</v>
      </c>
      <c r="AR70" s="1">
        <v>30</v>
      </c>
      <c r="AS70" s="1">
        <v>80</v>
      </c>
      <c r="AY70" s="43"/>
      <c r="BC70" s="49"/>
    </row>
    <row r="71" spans="1:55" ht="14.25">
      <c r="A71" s="44">
        <v>40</v>
      </c>
      <c r="B71" s="44">
        <v>3600</v>
      </c>
      <c r="C71" s="45" t="s">
        <v>132</v>
      </c>
      <c r="D71" s="45" t="s">
        <v>132</v>
      </c>
      <c r="E71" s="43" t="s">
        <v>141</v>
      </c>
      <c r="F71" s="43">
        <v>3535</v>
      </c>
      <c r="G71" s="47">
        <v>11</v>
      </c>
      <c r="H71" s="47">
        <f>ROUND(A71*746*10000/(Q71*V71*1.732*460),1)</f>
        <v>44.8</v>
      </c>
      <c r="I71" s="47">
        <f>ROUND(A71*0.75*746*10000/(S71*W71*1.732*460),1)</f>
        <v>33.7</v>
      </c>
      <c r="J71" s="47"/>
      <c r="K71" s="47"/>
      <c r="L71" s="44">
        <v>290</v>
      </c>
      <c r="M71" s="47">
        <f>ROUND(A71*5250/F71,1)</f>
        <v>59.4</v>
      </c>
      <c r="N71" s="47">
        <f>ROUND(A71*5250*0.75/(B71-((B71-F71)*0.75)),1)</f>
        <v>44.4</v>
      </c>
      <c r="O71" s="44">
        <v>260</v>
      </c>
      <c r="P71" s="44">
        <v>240</v>
      </c>
      <c r="Q71" s="47">
        <v>93.1</v>
      </c>
      <c r="R71" s="47">
        <f>A71*746/(A71*746+(AD71*1.1))*100</f>
        <v>92.46201211639685</v>
      </c>
      <c r="S71" s="47">
        <v>93.4</v>
      </c>
      <c r="T71" s="47">
        <f>ROUND(A71*0.75*746/(A71*0.75*746+(AE71*1.1))*100,1)</f>
        <v>92.8</v>
      </c>
      <c r="U71" s="47">
        <v>92.8</v>
      </c>
      <c r="V71" s="47">
        <v>89.7</v>
      </c>
      <c r="W71" s="47">
        <v>89.2</v>
      </c>
      <c r="X71" s="47">
        <v>84.3</v>
      </c>
      <c r="Y71" s="44">
        <v>28</v>
      </c>
      <c r="Z71" s="44">
        <v>11</v>
      </c>
      <c r="AA71" s="44">
        <f>H71*13</f>
        <v>582.4</v>
      </c>
      <c r="AB71" s="46">
        <v>8.7</v>
      </c>
      <c r="AC71" s="44">
        <v>80</v>
      </c>
      <c r="AD71" s="43">
        <f>(A71*746-(Q71/100*(A71*746)))/(Q71/100)</f>
        <v>2211.5574650913027</v>
      </c>
      <c r="AE71" s="43">
        <f>(A71*746*0.75-(S71/100*(A71*0.75*746)))/(S71/100)</f>
        <v>1581.4561027837237</v>
      </c>
      <c r="AF71" s="43">
        <f>AG71+1</f>
        <v>5</v>
      </c>
      <c r="AG71" s="43">
        <v>4</v>
      </c>
      <c r="AH71" s="43">
        <v>130</v>
      </c>
      <c r="AI71" s="43">
        <v>137</v>
      </c>
      <c r="AJ71" s="44">
        <f>AI71*$BD$1</f>
        <v>178.1</v>
      </c>
      <c r="AK71" s="43">
        <v>40</v>
      </c>
      <c r="AL71" s="52">
        <f>$BD$1*4.1</f>
        <v>5.330000000000001</v>
      </c>
      <c r="AM71" s="43">
        <v>574</v>
      </c>
      <c r="AN71" s="43" t="s">
        <v>108</v>
      </c>
      <c r="AO71" s="43">
        <v>63</v>
      </c>
      <c r="AP71" s="44">
        <v>87</v>
      </c>
      <c r="AQ71" s="43" t="s">
        <v>125</v>
      </c>
      <c r="AR71" s="1">
        <v>40</v>
      </c>
      <c r="AS71" s="1">
        <v>85</v>
      </c>
      <c r="AY71" s="43"/>
      <c r="BC71" s="49"/>
    </row>
    <row r="72" spans="1:55" ht="14.25">
      <c r="A72" s="44"/>
      <c r="B72" s="43"/>
      <c r="C72" s="51"/>
      <c r="D72" s="51"/>
      <c r="E72" s="43"/>
      <c r="F72" s="43"/>
      <c r="G72" s="47"/>
      <c r="H72" s="43"/>
      <c r="I72" s="47"/>
      <c r="J72" s="47"/>
      <c r="K72" s="47"/>
      <c r="L72" s="44"/>
      <c r="M72" s="52"/>
      <c r="N72" s="5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6"/>
      <c r="AC72" s="43"/>
      <c r="AD72" s="43"/>
      <c r="AE72" s="43"/>
      <c r="AF72" s="43"/>
      <c r="AG72" s="43"/>
      <c r="AH72" s="43"/>
      <c r="AI72" s="43"/>
      <c r="AJ72" s="44"/>
      <c r="AK72" s="43"/>
      <c r="AL72" s="52"/>
      <c r="AM72" s="43"/>
      <c r="AN72" s="43"/>
      <c r="AO72" s="43"/>
      <c r="AP72" s="43"/>
      <c r="AQ72" s="43"/>
      <c r="AY72" s="43"/>
      <c r="BC72" s="49"/>
    </row>
    <row r="73" spans="1:55" ht="14.25">
      <c r="A73" s="44">
        <v>50</v>
      </c>
      <c r="B73" s="44">
        <v>900</v>
      </c>
      <c r="C73" s="45" t="s">
        <v>142</v>
      </c>
      <c r="D73" s="45" t="s">
        <v>143</v>
      </c>
      <c r="E73" s="43" t="s">
        <v>144</v>
      </c>
      <c r="F73" s="43">
        <v>879</v>
      </c>
      <c r="G73" s="47">
        <v>20</v>
      </c>
      <c r="H73" s="47">
        <f>ROUND(A73*746*10000/(Q73*V73*1.732*460),1)</f>
        <v>62</v>
      </c>
      <c r="I73" s="47">
        <f>ROUND(A73*0.75*746*10000/(S73*W73*1.732*460),1)</f>
        <v>47</v>
      </c>
      <c r="J73" s="47"/>
      <c r="K73" s="47"/>
      <c r="L73" s="44">
        <v>352.5</v>
      </c>
      <c r="M73" s="44">
        <f>ROUND(A73*5250/F73,0)</f>
        <v>299</v>
      </c>
      <c r="N73" s="53">
        <f>ROUND(A73*5250*0.75/(B73-((B73-F73)*0.75)),0)</f>
        <v>223</v>
      </c>
      <c r="O73" s="44">
        <v>150</v>
      </c>
      <c r="P73" s="44">
        <v>225</v>
      </c>
      <c r="Q73" s="47">
        <v>91</v>
      </c>
      <c r="R73" s="47">
        <f>A73*746/(A73*746+(AD73*1.1))*100</f>
        <v>90.18830525272547</v>
      </c>
      <c r="S73" s="47">
        <v>92</v>
      </c>
      <c r="T73" s="47">
        <f>ROUND(A73*0.75*746/(A73*0.75*746+(AE73*1.2))*100,1)</f>
        <v>90.6</v>
      </c>
      <c r="U73" s="47">
        <v>91.3</v>
      </c>
      <c r="V73" s="47">
        <v>83</v>
      </c>
      <c r="W73" s="47">
        <v>81.2</v>
      </c>
      <c r="X73" s="47">
        <v>74.6</v>
      </c>
      <c r="Y73" s="44">
        <v>29</v>
      </c>
      <c r="Z73" s="44">
        <v>11</v>
      </c>
      <c r="AA73" s="44">
        <f>H73*13</f>
        <v>806</v>
      </c>
      <c r="AB73" s="46"/>
      <c r="AC73" s="44">
        <v>66</v>
      </c>
      <c r="AD73" s="43">
        <f>(A73*746-(Q73/100*(A73*746)))/(Q73/100)</f>
        <v>3689.010989010989</v>
      </c>
      <c r="AE73" s="43">
        <f>(A73*746*0.75-(S73/100*(A73*0.75*746)))/(S73/100)</f>
        <v>2432.608695652174</v>
      </c>
      <c r="AF73" s="43"/>
      <c r="AG73" s="43"/>
      <c r="AH73" s="43"/>
      <c r="AI73" s="43">
        <v>4300</v>
      </c>
      <c r="AJ73" s="44">
        <f>AI73*1</f>
        <v>4300</v>
      </c>
      <c r="AK73" s="43">
        <v>1241</v>
      </c>
      <c r="AL73" s="52" t="s">
        <v>107</v>
      </c>
      <c r="AM73" s="43">
        <v>1150</v>
      </c>
      <c r="AN73" s="43" t="s">
        <v>108</v>
      </c>
      <c r="AO73" s="43">
        <v>55</v>
      </c>
      <c r="AP73" s="44">
        <v>74</v>
      </c>
      <c r="AQ73" s="43" t="s">
        <v>125</v>
      </c>
      <c r="AR73" s="1" t="s">
        <v>110</v>
      </c>
      <c r="AS73" s="1" t="s">
        <v>110</v>
      </c>
      <c r="AY73" s="43"/>
      <c r="BC73" s="49"/>
    </row>
    <row r="74" spans="1:55" ht="14.25">
      <c r="A74" s="44">
        <v>50</v>
      </c>
      <c r="B74" s="44">
        <v>1200</v>
      </c>
      <c r="C74" s="45" t="s">
        <v>137</v>
      </c>
      <c r="D74" s="45" t="s">
        <v>132</v>
      </c>
      <c r="E74" s="43" t="s">
        <v>140</v>
      </c>
      <c r="F74" s="43">
        <v>1175</v>
      </c>
      <c r="G74" s="47">
        <v>18.5</v>
      </c>
      <c r="H74" s="47">
        <f>ROUND(A74*746*10000/(Q74*V74*1.732*460),1)</f>
        <v>59.9</v>
      </c>
      <c r="I74" s="47">
        <f>ROUND(A74*0.75*746*10000/(S74*W74*1.732*460),1)</f>
        <v>46.6</v>
      </c>
      <c r="J74" s="47"/>
      <c r="K74" s="47"/>
      <c r="L74" s="44">
        <v>362.5</v>
      </c>
      <c r="M74" s="44">
        <f>ROUND(A74*5250/F74,0)</f>
        <v>223</v>
      </c>
      <c r="N74" s="53">
        <f>ROUND(A74*5250*0.75/(B74-((B74-F74)*0.75)),0)</f>
        <v>167</v>
      </c>
      <c r="O74" s="44">
        <v>250</v>
      </c>
      <c r="P74" s="44">
        <v>264</v>
      </c>
      <c r="Q74" s="47">
        <v>93.6</v>
      </c>
      <c r="R74" s="47">
        <v>93.6</v>
      </c>
      <c r="S74" s="47">
        <v>94.4</v>
      </c>
      <c r="T74" s="47">
        <f>ROUND(A74*0.75*746/(A74*0.75*746+(AE74*1.1))*100,1)</f>
        <v>93.9</v>
      </c>
      <c r="U74" s="47">
        <v>94.3</v>
      </c>
      <c r="V74" s="47">
        <v>83.5</v>
      </c>
      <c r="W74" s="47">
        <v>79.9</v>
      </c>
      <c r="X74" s="47">
        <v>71</v>
      </c>
      <c r="Y74" s="44">
        <v>40</v>
      </c>
      <c r="Z74" s="44">
        <v>18</v>
      </c>
      <c r="AA74" s="44">
        <f>H74*13</f>
        <v>778.6999999999999</v>
      </c>
      <c r="AB74" s="46">
        <v>14.7</v>
      </c>
      <c r="AC74" s="44">
        <v>67</v>
      </c>
      <c r="AD74" s="43">
        <f>(A74*746-(Q74/100*(A74*746)))/(Q74/100)</f>
        <v>2550.427350427355</v>
      </c>
      <c r="AE74" s="43">
        <f>(A74*746*0.75-(S74/100*(A74*0.75*746)))/(S74/100)</f>
        <v>1659.533898305083</v>
      </c>
      <c r="AF74" s="43">
        <f>AG74+1</f>
        <v>9</v>
      </c>
      <c r="AG74" s="43">
        <v>8</v>
      </c>
      <c r="AH74" s="43">
        <v>64</v>
      </c>
      <c r="AI74" s="43">
        <v>2090</v>
      </c>
      <c r="AJ74" s="44">
        <f>AI74*$BD$1</f>
        <v>2717</v>
      </c>
      <c r="AK74" s="43">
        <v>620</v>
      </c>
      <c r="AL74" s="47">
        <f>$BD$1*17.2</f>
        <v>22.36</v>
      </c>
      <c r="AM74" s="43">
        <v>793</v>
      </c>
      <c r="AN74" s="43" t="s">
        <v>108</v>
      </c>
      <c r="AO74" s="43">
        <v>63</v>
      </c>
      <c r="AP74" s="44">
        <v>83</v>
      </c>
      <c r="AQ74" s="43" t="s">
        <v>125</v>
      </c>
      <c r="AR74" s="1">
        <v>30</v>
      </c>
      <c r="AS74" s="1">
        <v>80</v>
      </c>
      <c r="AY74" s="43"/>
      <c r="BC74" s="49"/>
    </row>
    <row r="75" spans="1:55" ht="14.25">
      <c r="A75" s="44">
        <v>50</v>
      </c>
      <c r="B75" s="44">
        <v>1800</v>
      </c>
      <c r="C75" s="45" t="s">
        <v>132</v>
      </c>
      <c r="D75" s="45" t="s">
        <v>132</v>
      </c>
      <c r="E75" s="43" t="s">
        <v>135</v>
      </c>
      <c r="F75" s="43">
        <v>1771</v>
      </c>
      <c r="G75" s="47">
        <v>20</v>
      </c>
      <c r="H75" s="47">
        <f>ROUND(A75*746*10000/(Q75*V75*1.732*460),1)</f>
        <v>59.2</v>
      </c>
      <c r="I75" s="47">
        <f>ROUND(A75*0.75*746*10000/(S75*W75*1.732*460),1)</f>
        <v>45.8</v>
      </c>
      <c r="J75" s="47"/>
      <c r="K75" s="47"/>
      <c r="L75" s="44">
        <v>362.5</v>
      </c>
      <c r="M75" s="44">
        <f>ROUND(A75*5250/F75,0)</f>
        <v>148</v>
      </c>
      <c r="N75" s="53">
        <f>ROUND(A75*5250*0.75/(B75-((B75-F75)*0.75)),0)</f>
        <v>111</v>
      </c>
      <c r="O75" s="44">
        <v>260</v>
      </c>
      <c r="P75" s="44">
        <v>240</v>
      </c>
      <c r="Q75" s="47">
        <v>94</v>
      </c>
      <c r="R75" s="47">
        <v>93.6</v>
      </c>
      <c r="S75" s="47">
        <v>94.2</v>
      </c>
      <c r="T75" s="47">
        <f>ROUND(A75*0.75*746/(A75*0.75*746+(AE75*1.1))*100,1)</f>
        <v>93.7</v>
      </c>
      <c r="U75" s="47">
        <v>93.9</v>
      </c>
      <c r="V75" s="47">
        <v>84.2</v>
      </c>
      <c r="W75" s="47">
        <v>81.4</v>
      </c>
      <c r="X75" s="47">
        <v>74.5</v>
      </c>
      <c r="Y75" s="44">
        <v>22</v>
      </c>
      <c r="Z75" s="44">
        <v>10</v>
      </c>
      <c r="AA75" s="44">
        <f>H75*13</f>
        <v>769.6</v>
      </c>
      <c r="AB75" s="46">
        <v>16</v>
      </c>
      <c r="AC75" s="44">
        <v>71</v>
      </c>
      <c r="AD75" s="43">
        <f>(A75*746-(Q75/100*(A75*746)))/(Q75/100)</f>
        <v>2380.8510638297876</v>
      </c>
      <c r="AE75" s="43">
        <f>(A75*746*0.75-(S75/100*(A75*0.75*746)))/(S75/100)</f>
        <v>1722.4522292993622</v>
      </c>
      <c r="AF75" s="43">
        <f>AG75+1</f>
        <v>8</v>
      </c>
      <c r="AG75" s="43">
        <v>7</v>
      </c>
      <c r="AH75" s="43">
        <v>72</v>
      </c>
      <c r="AI75" s="43">
        <v>625</v>
      </c>
      <c r="AJ75" s="44">
        <f>AI75*$BD$1</f>
        <v>812.5</v>
      </c>
      <c r="AK75" s="43">
        <v>232</v>
      </c>
      <c r="AL75" s="52">
        <f>$BD$1*7.1</f>
        <v>9.23</v>
      </c>
      <c r="AM75" s="43">
        <v>595</v>
      </c>
      <c r="AN75" s="43" t="s">
        <v>108</v>
      </c>
      <c r="AO75" s="43">
        <v>51</v>
      </c>
      <c r="AP75" s="44">
        <v>67</v>
      </c>
      <c r="AQ75" s="43" t="s">
        <v>125</v>
      </c>
      <c r="AR75" s="1">
        <v>30</v>
      </c>
      <c r="AS75" s="1">
        <v>80</v>
      </c>
      <c r="AY75" s="43"/>
      <c r="BC75" s="49"/>
    </row>
    <row r="76" spans="1:55" ht="14.25">
      <c r="A76" s="44">
        <v>50</v>
      </c>
      <c r="B76" s="44">
        <v>3600</v>
      </c>
      <c r="C76" s="45" t="s">
        <v>132</v>
      </c>
      <c r="D76" s="45" t="s">
        <v>132</v>
      </c>
      <c r="E76" s="43" t="s">
        <v>145</v>
      </c>
      <c r="F76" s="43">
        <v>3533</v>
      </c>
      <c r="G76" s="47">
        <v>12</v>
      </c>
      <c r="H76" s="47">
        <f>ROUND(A76*746*10000/(Q76*V76*1.732*460),1)</f>
        <v>55.4</v>
      </c>
      <c r="I76" s="47">
        <f>ROUND(A76*0.75*746*10000/(S76*W76*1.732*460),1)</f>
        <v>42</v>
      </c>
      <c r="J76" s="47"/>
      <c r="K76" s="47"/>
      <c r="L76" s="44">
        <v>362.5</v>
      </c>
      <c r="M76" s="47">
        <f>ROUND(A76*5250/F76,1)</f>
        <v>74.3</v>
      </c>
      <c r="N76" s="47">
        <f>ROUND(A76*5250*0.75/(B76-((B76-F76)*0.75)),1)</f>
        <v>55.5</v>
      </c>
      <c r="O76" s="44">
        <v>270</v>
      </c>
      <c r="P76" s="44">
        <v>270</v>
      </c>
      <c r="Q76" s="47">
        <v>93</v>
      </c>
      <c r="R76" s="47">
        <f>A76*746/(A76*746+(AD76*1.1))*100</f>
        <v>92.35352532274081</v>
      </c>
      <c r="S76" s="47">
        <v>93.3</v>
      </c>
      <c r="T76" s="47">
        <f>ROUND(A76*0.75*746/(A76*0.75*746+(AE76*1.1))*100,1)</f>
        <v>92.7</v>
      </c>
      <c r="U76" s="47">
        <v>92.6</v>
      </c>
      <c r="V76" s="47">
        <v>90.9</v>
      </c>
      <c r="W76" s="47">
        <v>89.7</v>
      </c>
      <c r="X76" s="47">
        <v>86</v>
      </c>
      <c r="Y76" s="44">
        <v>23</v>
      </c>
      <c r="Z76" s="44">
        <v>10</v>
      </c>
      <c r="AA76" s="44">
        <f>H76*13</f>
        <v>720.1999999999999</v>
      </c>
      <c r="AB76" s="46">
        <v>9.5</v>
      </c>
      <c r="AC76" s="44">
        <v>81</v>
      </c>
      <c r="AD76" s="43">
        <f>(A76*746-(Q76/100*(A76*746)))/(Q76/100)</f>
        <v>2807.52688172043</v>
      </c>
      <c r="AE76" s="43">
        <f>(A76*746*0.75-(S76/100*(A76*0.75*746)))/(S76/100)</f>
        <v>2008.9228295819944</v>
      </c>
      <c r="AF76" s="43">
        <f>AG76+1</f>
        <v>5</v>
      </c>
      <c r="AG76" s="43">
        <v>4</v>
      </c>
      <c r="AH76" s="43">
        <v>145</v>
      </c>
      <c r="AI76" s="43">
        <v>156</v>
      </c>
      <c r="AJ76" s="44">
        <f>AI76*$BD$1</f>
        <v>202.8</v>
      </c>
      <c r="AK76" s="43">
        <v>49</v>
      </c>
      <c r="AL76" s="52">
        <f>$BD$1*4.9</f>
        <v>6.370000000000001</v>
      </c>
      <c r="AM76" s="43">
        <v>690</v>
      </c>
      <c r="AN76" s="43" t="s">
        <v>108</v>
      </c>
      <c r="AO76" s="43">
        <v>67</v>
      </c>
      <c r="AP76" s="44">
        <v>90</v>
      </c>
      <c r="AQ76" s="43" t="s">
        <v>125</v>
      </c>
      <c r="AR76" s="1">
        <v>60</v>
      </c>
      <c r="AS76" s="1">
        <v>75</v>
      </c>
      <c r="AY76" s="43"/>
      <c r="BC76" s="49"/>
    </row>
    <row r="77" spans="1:55" ht="14.25">
      <c r="A77" s="44"/>
      <c r="B77" s="43"/>
      <c r="C77" s="51"/>
      <c r="D77" s="51"/>
      <c r="E77" s="43"/>
      <c r="F77" s="43"/>
      <c r="G77" s="47"/>
      <c r="H77" s="43"/>
      <c r="I77" s="47"/>
      <c r="J77" s="47"/>
      <c r="K77" s="47"/>
      <c r="L77" s="44"/>
      <c r="M77" s="52"/>
      <c r="N77" s="52"/>
      <c r="O77" s="43"/>
      <c r="P77" s="43"/>
      <c r="Q77" s="47"/>
      <c r="R77" s="43"/>
      <c r="S77" s="47"/>
      <c r="T77" s="43"/>
      <c r="U77" s="47"/>
      <c r="V77" s="47"/>
      <c r="W77" s="43"/>
      <c r="X77" s="43"/>
      <c r="Y77" s="43"/>
      <c r="Z77" s="43"/>
      <c r="AA77" s="43"/>
      <c r="AB77" s="46"/>
      <c r="AC77" s="43"/>
      <c r="AD77" s="43"/>
      <c r="AE77" s="43"/>
      <c r="AF77" s="43"/>
      <c r="AG77" s="43"/>
      <c r="AH77" s="43"/>
      <c r="AI77" s="43"/>
      <c r="AJ77" s="44"/>
      <c r="AK77" s="43"/>
      <c r="AL77" s="52"/>
      <c r="AM77" s="43"/>
      <c r="AN77" s="43"/>
      <c r="AO77" s="43"/>
      <c r="AP77" s="43"/>
      <c r="AQ77" s="43"/>
      <c r="AY77" s="43"/>
      <c r="BC77" s="49"/>
    </row>
    <row r="78" spans="1:55" ht="14.25">
      <c r="A78" s="44">
        <v>60</v>
      </c>
      <c r="B78" s="44">
        <v>900</v>
      </c>
      <c r="C78" s="45" t="s">
        <v>142</v>
      </c>
      <c r="D78" s="45" t="s">
        <v>143</v>
      </c>
      <c r="E78" s="43" t="s">
        <v>146</v>
      </c>
      <c r="F78" s="43">
        <v>880</v>
      </c>
      <c r="G78" s="47">
        <v>27</v>
      </c>
      <c r="H78" s="47">
        <f>ROUND(A78*746*10000/(Q78*V78*1.732*460),1)</f>
        <v>76</v>
      </c>
      <c r="I78" s="47">
        <f>ROUND(A78*0.75*746*10000/(S78*W78*1.732*460),1)</f>
        <v>59.3</v>
      </c>
      <c r="J78" s="47"/>
      <c r="K78" s="47"/>
      <c r="L78" s="44">
        <v>430</v>
      </c>
      <c r="M78" s="44">
        <f>ROUND(A78*5250/F78,0)</f>
        <v>358</v>
      </c>
      <c r="N78" s="53">
        <f>ROUND(A78*5250*0.75/(B78-((B78-F78)*0.75)),0)</f>
        <v>267</v>
      </c>
      <c r="O78" s="44">
        <v>190</v>
      </c>
      <c r="P78" s="44">
        <v>230</v>
      </c>
      <c r="Q78" s="47">
        <v>91</v>
      </c>
      <c r="R78" s="47">
        <f>A78*746/(A78*746+(AD78*1.1))*100</f>
        <v>90.18830525272547</v>
      </c>
      <c r="S78" s="43">
        <v>91.3</v>
      </c>
      <c r="T78" s="47">
        <f>ROUND(A78*0.75*746/(A78*0.75*746+(AE78*1.2))*100,1)</f>
        <v>89.7</v>
      </c>
      <c r="U78" s="43">
        <v>91.3</v>
      </c>
      <c r="V78" s="47">
        <v>81.2</v>
      </c>
      <c r="W78" s="47">
        <v>77.8</v>
      </c>
      <c r="X78" s="47">
        <v>69.9</v>
      </c>
      <c r="Y78" s="44">
        <v>29</v>
      </c>
      <c r="Z78" s="44">
        <v>10</v>
      </c>
      <c r="AA78" s="44">
        <f>H78*13</f>
        <v>988</v>
      </c>
      <c r="AB78" s="46"/>
      <c r="AC78" s="44">
        <v>68</v>
      </c>
      <c r="AD78" s="43">
        <f>(A78*746-(Q78/100*(A78*746)))/(Q78/100)</f>
        <v>4426.813186813189</v>
      </c>
      <c r="AE78" s="43">
        <f>(A78*746*0.75-(S78/100*(A78*0.75*746)))/(S78/100)</f>
        <v>3198.8937568455685</v>
      </c>
      <c r="AF78" s="43"/>
      <c r="AG78" s="43"/>
      <c r="AH78" s="43"/>
      <c r="AI78" s="43">
        <v>4600</v>
      </c>
      <c r="AJ78" s="44">
        <f>AI78*1</f>
        <v>4600</v>
      </c>
      <c r="AK78" s="43">
        <v>1473</v>
      </c>
      <c r="AL78" s="52" t="s">
        <v>107</v>
      </c>
      <c r="AM78" s="43">
        <v>1495</v>
      </c>
      <c r="AN78" s="43" t="s">
        <v>108</v>
      </c>
      <c r="AO78" s="43">
        <v>65</v>
      </c>
      <c r="AP78" s="44">
        <v>90</v>
      </c>
      <c r="AQ78" s="43" t="s">
        <v>125</v>
      </c>
      <c r="AR78" s="1" t="s">
        <v>110</v>
      </c>
      <c r="AS78" s="1" t="s">
        <v>110</v>
      </c>
      <c r="AY78" s="43"/>
      <c r="BC78" s="49"/>
    </row>
    <row r="79" spans="1:55" ht="14.25">
      <c r="A79" s="44">
        <v>60</v>
      </c>
      <c r="B79" s="44">
        <v>1200</v>
      </c>
      <c r="C79" s="45" t="s">
        <v>142</v>
      </c>
      <c r="D79" s="45" t="s">
        <v>143</v>
      </c>
      <c r="E79" s="43" t="s">
        <v>144</v>
      </c>
      <c r="F79" s="43">
        <v>1187</v>
      </c>
      <c r="G79" s="47">
        <v>26</v>
      </c>
      <c r="H79" s="47">
        <f>ROUND(A79*746*10000/(Q79*V79*1.732*460),1)</f>
        <v>72.7</v>
      </c>
      <c r="I79" s="47">
        <f>ROUND(A79*0.75*746*10000/(S79*W79*1.732*460),1)</f>
        <v>57.2</v>
      </c>
      <c r="J79" s="47"/>
      <c r="K79" s="47"/>
      <c r="L79" s="44">
        <v>435</v>
      </c>
      <c r="M79" s="44">
        <f>ROUND(A79*5250/F79,0)</f>
        <v>265</v>
      </c>
      <c r="N79" s="53">
        <f>ROUND(A79*5250*0.75/(B79-((B79-F79)*0.75)),0)</f>
        <v>198</v>
      </c>
      <c r="O79" s="44">
        <v>210</v>
      </c>
      <c r="P79" s="44">
        <v>244</v>
      </c>
      <c r="Q79" s="47">
        <v>95</v>
      </c>
      <c r="R79" s="47">
        <f>A79*746/(A79*746+(AD79*1.1))*100</f>
        <v>94.52736318407959</v>
      </c>
      <c r="S79" s="47">
        <v>95.1</v>
      </c>
      <c r="T79" s="47">
        <f>ROUND(A79*0.75*746/(A79*0.75*746+(AE79*1.1))*100,1)</f>
        <v>94.6</v>
      </c>
      <c r="U79" s="47">
        <v>94.6</v>
      </c>
      <c r="V79" s="47">
        <v>81.4</v>
      </c>
      <c r="W79" s="47">
        <v>77.5</v>
      </c>
      <c r="X79" s="47">
        <v>69.5</v>
      </c>
      <c r="Y79" s="44">
        <v>38</v>
      </c>
      <c r="Z79" s="44">
        <v>20</v>
      </c>
      <c r="AA79" s="44">
        <f>H79*13</f>
        <v>945.1</v>
      </c>
      <c r="AB79" s="46">
        <v>20.7</v>
      </c>
      <c r="AC79" s="44">
        <v>70</v>
      </c>
      <c r="AD79" s="43">
        <f>(A79*746-(Q79/100*(A79*746)))/(Q79/100)</f>
        <v>2355.789473684211</v>
      </c>
      <c r="AE79" s="43">
        <f>(A79*746*0.75-(S79/100*(A79*0.75*746)))/(S79/100)</f>
        <v>1729.6845425867511</v>
      </c>
      <c r="AF79" s="43">
        <f>AG79+1</f>
        <v>8</v>
      </c>
      <c r="AG79" s="43">
        <v>7</v>
      </c>
      <c r="AH79" s="43">
        <v>75</v>
      </c>
      <c r="AI79" s="43">
        <v>2630</v>
      </c>
      <c r="AJ79" s="44">
        <f>AI79*$BD$1</f>
        <v>3419</v>
      </c>
      <c r="AK79" s="43">
        <v>735</v>
      </c>
      <c r="AL79" s="47">
        <f>$BD$1*24.3</f>
        <v>31.590000000000003</v>
      </c>
      <c r="AM79" s="43">
        <v>1144</v>
      </c>
      <c r="AN79" s="43" t="s">
        <v>108</v>
      </c>
      <c r="AO79" s="43">
        <v>58</v>
      </c>
      <c r="AP79" s="44">
        <v>70</v>
      </c>
      <c r="AQ79" s="43" t="s">
        <v>125</v>
      </c>
      <c r="AR79" s="1">
        <v>30</v>
      </c>
      <c r="AS79" s="1">
        <v>90</v>
      </c>
      <c r="AY79" s="43"/>
      <c r="BC79" s="49"/>
    </row>
    <row r="80" spans="1:55" ht="14.25">
      <c r="A80" s="44">
        <v>60</v>
      </c>
      <c r="B80" s="44">
        <v>1800</v>
      </c>
      <c r="C80" s="45" t="s">
        <v>137</v>
      </c>
      <c r="D80" s="45" t="s">
        <v>132</v>
      </c>
      <c r="E80" s="43" t="s">
        <v>138</v>
      </c>
      <c r="F80" s="43">
        <v>1777</v>
      </c>
      <c r="G80" s="47">
        <v>22</v>
      </c>
      <c r="H80" s="47">
        <f>ROUND(A80*746*10000/(Q80*V80*1.732*460),1)</f>
        <v>70.3</v>
      </c>
      <c r="I80" s="47">
        <f>ROUND(A80*0.75*746*10000/(S80*W80*1.732*460),1)</f>
        <v>54.3</v>
      </c>
      <c r="J80" s="47"/>
      <c r="K80" s="47"/>
      <c r="L80" s="44">
        <v>435</v>
      </c>
      <c r="M80" s="44">
        <f>ROUND(A80*5250/F80,0)</f>
        <v>177</v>
      </c>
      <c r="N80" s="53">
        <f>ROUND(A80*5250*0.75/(B80-((B80-F80)*0.75)),0)</f>
        <v>133</v>
      </c>
      <c r="O80" s="44">
        <v>216</v>
      </c>
      <c r="P80" s="44">
        <v>274</v>
      </c>
      <c r="Q80" s="47">
        <v>95.1</v>
      </c>
      <c r="R80" s="47">
        <f>A80*746/(A80*746+(AD80*1.1))*100</f>
        <v>94.63628221713601</v>
      </c>
      <c r="S80" s="47">
        <v>95.2</v>
      </c>
      <c r="T80" s="47">
        <f>ROUND(A80*0.75*746/(A80*0.75*746+(AE80*1.1))*100,1)</f>
        <v>94.7</v>
      </c>
      <c r="U80" s="47">
        <v>94.6</v>
      </c>
      <c r="V80" s="47">
        <v>84</v>
      </c>
      <c r="W80" s="47">
        <v>81.5</v>
      </c>
      <c r="X80" s="47">
        <v>74.9</v>
      </c>
      <c r="Y80" s="44">
        <v>21</v>
      </c>
      <c r="Z80" s="44">
        <v>8</v>
      </c>
      <c r="AA80" s="44">
        <f>H80*13</f>
        <v>913.9</v>
      </c>
      <c r="AB80" s="46">
        <v>17.5</v>
      </c>
      <c r="AC80" s="44">
        <v>72</v>
      </c>
      <c r="AD80" s="43">
        <f>(A80*746-(Q80/100*(A80*746)))/(Q80/100)</f>
        <v>2306.24605678234</v>
      </c>
      <c r="AE80" s="43">
        <f>(A80*746*0.75-(S80/100*(A80*0.75*746)))/(S80/100)</f>
        <v>1692.6050420168033</v>
      </c>
      <c r="AF80" s="43">
        <f>AG80+1</f>
        <v>7</v>
      </c>
      <c r="AG80" s="43">
        <v>6</v>
      </c>
      <c r="AH80" s="43">
        <v>85</v>
      </c>
      <c r="AI80" s="43">
        <v>770</v>
      </c>
      <c r="AJ80" s="44">
        <f>AI80*$BD$1</f>
        <v>1001</v>
      </c>
      <c r="AK80" s="43">
        <v>275</v>
      </c>
      <c r="AL80" s="47">
        <f>$BD$1*10.7</f>
        <v>13.910000000000002</v>
      </c>
      <c r="AM80" s="43">
        <v>741</v>
      </c>
      <c r="AN80" s="43" t="s">
        <v>108</v>
      </c>
      <c r="AO80" s="43">
        <v>51</v>
      </c>
      <c r="AP80" s="44">
        <v>62</v>
      </c>
      <c r="AQ80" s="43" t="s">
        <v>125</v>
      </c>
      <c r="AR80" s="1">
        <v>60</v>
      </c>
      <c r="AS80" s="1">
        <v>50</v>
      </c>
      <c r="AY80" s="43"/>
      <c r="BC80" s="49"/>
    </row>
    <row r="81" spans="1:55" ht="14.25">
      <c r="A81" s="44">
        <v>60</v>
      </c>
      <c r="B81" s="44">
        <v>3600</v>
      </c>
      <c r="C81" s="45" t="s">
        <v>132</v>
      </c>
      <c r="D81" s="45" t="s">
        <v>132</v>
      </c>
      <c r="E81" s="43" t="s">
        <v>147</v>
      </c>
      <c r="F81" s="43">
        <v>3547</v>
      </c>
      <c r="G81" s="47">
        <v>18.5</v>
      </c>
      <c r="H81" s="47">
        <f>ROUND(A81*746*10000/(Q81*V81*1.732*460),1)</f>
        <v>67.3</v>
      </c>
      <c r="I81" s="47">
        <f>ROUND(A81*0.75*746*10000/(S81*W81*1.732*460),1)</f>
        <v>51.2</v>
      </c>
      <c r="J81" s="47"/>
      <c r="K81" s="47"/>
      <c r="L81" s="44">
        <v>435</v>
      </c>
      <c r="M81" s="47">
        <f>ROUND(A81*5250/F81,1)</f>
        <v>88.8</v>
      </c>
      <c r="N81" s="47">
        <f>ROUND(A81*5250*0.75/(B81-((B81-F81)*0.75)),1)</f>
        <v>66.4</v>
      </c>
      <c r="O81" s="44">
        <v>230</v>
      </c>
      <c r="P81" s="44">
        <v>280</v>
      </c>
      <c r="Q81" s="47">
        <v>93.8</v>
      </c>
      <c r="R81" s="47">
        <f>A81*746/(A81*746+(AD81*1.1))*100</f>
        <v>93.22202345458159</v>
      </c>
      <c r="S81" s="47">
        <v>94</v>
      </c>
      <c r="T81" s="47">
        <f>ROUND(A81*0.75*746/(A81*0.75*746+(AE81*1.1))*100,1)</f>
        <v>93.4</v>
      </c>
      <c r="U81" s="47">
        <v>93.7</v>
      </c>
      <c r="V81" s="47">
        <v>89</v>
      </c>
      <c r="W81" s="47">
        <v>87.5</v>
      </c>
      <c r="X81" s="47">
        <v>82.6</v>
      </c>
      <c r="Y81" s="44">
        <v>29</v>
      </c>
      <c r="Z81" s="44">
        <v>10</v>
      </c>
      <c r="AA81" s="44">
        <f>H81*13</f>
        <v>874.9</v>
      </c>
      <c r="AB81" s="46">
        <v>14.7</v>
      </c>
      <c r="AC81" s="44">
        <v>85</v>
      </c>
      <c r="AD81" s="43">
        <f>(A81*746-(Q81/100*(A81*746)))/(Q81/100)</f>
        <v>2958.550106609811</v>
      </c>
      <c r="AE81" s="43">
        <f>(A81*746*0.75-(S81/100*(A81*0.75*746)))/(S81/100)</f>
        <v>2142.7659574468094</v>
      </c>
      <c r="AF81" s="43">
        <f>AG81+1</f>
        <v>4</v>
      </c>
      <c r="AG81" s="43">
        <v>3</v>
      </c>
      <c r="AH81" s="43">
        <v>170</v>
      </c>
      <c r="AI81" s="43">
        <v>169</v>
      </c>
      <c r="AJ81" s="44">
        <f>AI81*$BD$1</f>
        <v>219.70000000000002</v>
      </c>
      <c r="AK81" s="43">
        <v>58</v>
      </c>
      <c r="AL81" s="47">
        <f>$BD$1*7.7</f>
        <v>10.01</v>
      </c>
      <c r="AM81" s="43">
        <v>845</v>
      </c>
      <c r="AN81" s="43" t="s">
        <v>108</v>
      </c>
      <c r="AO81" s="43">
        <v>63</v>
      </c>
      <c r="AP81" s="44">
        <v>85</v>
      </c>
      <c r="AQ81" s="43" t="s">
        <v>125</v>
      </c>
      <c r="AR81" s="1">
        <v>40</v>
      </c>
      <c r="AS81" s="1">
        <v>80</v>
      </c>
      <c r="AY81" s="43"/>
      <c r="BC81" s="49"/>
    </row>
    <row r="82" spans="1:55" ht="14.25">
      <c r="A82" s="44"/>
      <c r="B82" s="43"/>
      <c r="C82" s="51"/>
      <c r="D82" s="51"/>
      <c r="E82" s="43"/>
      <c r="F82" s="43"/>
      <c r="G82" s="47"/>
      <c r="H82" s="43"/>
      <c r="I82" s="47"/>
      <c r="J82" s="47"/>
      <c r="K82" s="47"/>
      <c r="L82" s="44"/>
      <c r="M82" s="52"/>
      <c r="N82" s="52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6"/>
      <c r="AC82" s="43"/>
      <c r="AD82" s="43"/>
      <c r="AE82" s="43"/>
      <c r="AF82" s="43"/>
      <c r="AG82" s="43"/>
      <c r="AH82" s="43"/>
      <c r="AI82" s="43"/>
      <c r="AJ82" s="44"/>
      <c r="AK82" s="43"/>
      <c r="AL82" s="52"/>
      <c r="AM82" s="43"/>
      <c r="AN82" s="43"/>
      <c r="AO82" s="43"/>
      <c r="AP82" s="43"/>
      <c r="AQ82" s="43"/>
      <c r="AY82" s="43"/>
      <c r="BC82" s="49"/>
    </row>
    <row r="83" spans="1:55" ht="14.25">
      <c r="A83" s="44">
        <v>75</v>
      </c>
      <c r="B83" s="44">
        <v>900</v>
      </c>
      <c r="C83" s="45" t="s">
        <v>148</v>
      </c>
      <c r="D83" s="45" t="s">
        <v>149</v>
      </c>
      <c r="E83" s="43" t="s">
        <v>150</v>
      </c>
      <c r="F83" s="43">
        <v>882</v>
      </c>
      <c r="G83" s="47">
        <v>33</v>
      </c>
      <c r="H83" s="47">
        <f>ROUND(A83*746*10000/(Q83*V83*1.732*460),1)</f>
        <v>95.5</v>
      </c>
      <c r="I83" s="47">
        <f>ROUND(A83*0.75*746*10000/(S83*W83*1.732*460),1)</f>
        <v>74</v>
      </c>
      <c r="J83" s="47"/>
      <c r="K83" s="47"/>
      <c r="L83" s="44">
        <v>540</v>
      </c>
      <c r="M83" s="44">
        <f>ROUND(A83*5250/F83,0)</f>
        <v>446</v>
      </c>
      <c r="N83" s="53">
        <f>ROUND(A83*5250*0.75/(B83-((B83-F83)*0.75)),0)</f>
        <v>333</v>
      </c>
      <c r="O83" s="44">
        <v>175</v>
      </c>
      <c r="P83" s="44">
        <v>250</v>
      </c>
      <c r="Q83" s="47">
        <v>91.7</v>
      </c>
      <c r="R83" s="47">
        <f>A83*746/(A83*746+(AD83*1.1))*100</f>
        <v>90.94515521174253</v>
      </c>
      <c r="S83" s="47">
        <v>92.3</v>
      </c>
      <c r="T83" s="47">
        <f>ROUND(A83*0.75*746/(A83*0.75*746+(AE83*1.2))*100,1)</f>
        <v>90.9</v>
      </c>
      <c r="U83" s="47">
        <v>92</v>
      </c>
      <c r="V83" s="47">
        <v>80.2</v>
      </c>
      <c r="W83" s="47">
        <v>77.1</v>
      </c>
      <c r="X83" s="47">
        <v>68.2</v>
      </c>
      <c r="Y83" s="44">
        <v>29</v>
      </c>
      <c r="Z83" s="44">
        <v>10</v>
      </c>
      <c r="AA83" s="44">
        <f>H83*13</f>
        <v>1241.5</v>
      </c>
      <c r="AB83" s="46"/>
      <c r="AC83" s="44">
        <v>69</v>
      </c>
      <c r="AD83" s="43">
        <f>(A83*746-(Q83/100*(A83*746)))/(Q83/100)</f>
        <v>5064.176663031623</v>
      </c>
      <c r="AE83" s="43">
        <f>(A83*746*0.75-(S83/100*(A83*0.75*746)))/(S83/100)</f>
        <v>3500.663596966417</v>
      </c>
      <c r="AF83" s="43"/>
      <c r="AG83" s="43"/>
      <c r="AH83" s="43"/>
      <c r="AI83" s="43">
        <v>6170</v>
      </c>
      <c r="AJ83" s="44">
        <f>AI83*1</f>
        <v>6170</v>
      </c>
      <c r="AK83" s="43">
        <v>1814</v>
      </c>
      <c r="AL83" s="52" t="s">
        <v>107</v>
      </c>
      <c r="AM83" s="43">
        <v>1932</v>
      </c>
      <c r="AN83" s="43" t="s">
        <v>108</v>
      </c>
      <c r="AO83" s="43">
        <v>71</v>
      </c>
      <c r="AP83" s="44">
        <v>98</v>
      </c>
      <c r="AQ83" s="43" t="s">
        <v>125</v>
      </c>
      <c r="AR83" s="1" t="s">
        <v>110</v>
      </c>
      <c r="AS83" s="1" t="s">
        <v>110</v>
      </c>
      <c r="AY83" s="43"/>
      <c r="BC83" s="49"/>
    </row>
    <row r="84" spans="1:55" ht="14.25">
      <c r="A84" s="44">
        <v>75</v>
      </c>
      <c r="B84" s="44">
        <v>1200</v>
      </c>
      <c r="C84" s="45" t="s">
        <v>142</v>
      </c>
      <c r="D84" s="45" t="s">
        <v>143</v>
      </c>
      <c r="E84" s="43" t="s">
        <v>146</v>
      </c>
      <c r="F84" s="43">
        <v>1186</v>
      </c>
      <c r="G84" s="47">
        <v>32</v>
      </c>
      <c r="H84" s="47">
        <f>ROUND(A84*746*10000/(Q84*V84*1.732*460),1)</f>
        <v>90.7</v>
      </c>
      <c r="I84" s="47">
        <f>ROUND(A84*0.75*746*10000/(S84*W84*1.732*460),1)</f>
        <v>70.6</v>
      </c>
      <c r="J84" s="47"/>
      <c r="K84" s="47"/>
      <c r="L84" s="44">
        <v>542.5</v>
      </c>
      <c r="M84" s="44">
        <f>ROUND(A84*5250/F84,0)</f>
        <v>332</v>
      </c>
      <c r="N84" s="53">
        <f>ROUND(A84*5250*0.75/(B84-((B84-F84)*0.75)),0)</f>
        <v>248</v>
      </c>
      <c r="O84" s="44">
        <v>210</v>
      </c>
      <c r="P84" s="44">
        <v>241</v>
      </c>
      <c r="Q84" s="47">
        <v>94.9</v>
      </c>
      <c r="R84" s="47">
        <f>A84*746/(A84*746+(AD84*1.1))*100</f>
        <v>94.4184658242961</v>
      </c>
      <c r="S84" s="47">
        <v>95.1</v>
      </c>
      <c r="T84" s="47">
        <f>ROUND(A84*0.75*746/(A84*0.75*746+(AE84*1.1))*100,1)</f>
        <v>94.6</v>
      </c>
      <c r="U84" s="47">
        <v>94.5</v>
      </c>
      <c r="V84" s="47">
        <v>81.6</v>
      </c>
      <c r="W84" s="47">
        <v>78.4</v>
      </c>
      <c r="X84" s="47">
        <v>69.6</v>
      </c>
      <c r="Y84" s="44">
        <v>28</v>
      </c>
      <c r="Z84" s="44">
        <v>15</v>
      </c>
      <c r="AA84" s="44">
        <f>H84*13</f>
        <v>1179.1000000000001</v>
      </c>
      <c r="AB84" s="46">
        <v>25.5</v>
      </c>
      <c r="AC84" s="44">
        <v>70</v>
      </c>
      <c r="AD84" s="43">
        <f>(A84*746-(Q84/100*(A84*746)))/(Q84/100)</f>
        <v>3006.7966280295013</v>
      </c>
      <c r="AE84" s="43">
        <f>(A84*746*0.75-(S84/100*(A84*0.75*746)))/(S84/100)</f>
        <v>2162.105678233437</v>
      </c>
      <c r="AF84" s="43">
        <f>AG84+1</f>
        <v>8</v>
      </c>
      <c r="AG84" s="43">
        <v>7</v>
      </c>
      <c r="AH84" s="43">
        <v>79</v>
      </c>
      <c r="AI84" s="43">
        <v>2930</v>
      </c>
      <c r="AJ84" s="44">
        <f>AI84*$BD$1</f>
        <v>3809</v>
      </c>
      <c r="AK84" s="43">
        <v>904</v>
      </c>
      <c r="AL84" s="47">
        <f>$BD$1*48.1</f>
        <v>62.53</v>
      </c>
      <c r="AM84" s="43">
        <v>1292</v>
      </c>
      <c r="AN84" s="43" t="s">
        <v>108</v>
      </c>
      <c r="AO84" s="43">
        <v>46</v>
      </c>
      <c r="AP84" s="44">
        <v>60</v>
      </c>
      <c r="AQ84" s="43" t="s">
        <v>125</v>
      </c>
      <c r="AR84" s="1">
        <v>30</v>
      </c>
      <c r="AS84" s="1">
        <v>90</v>
      </c>
      <c r="AY84" s="43"/>
      <c r="BC84" s="49"/>
    </row>
    <row r="85" spans="1:55" ht="14.25">
      <c r="A85" s="44">
        <v>75</v>
      </c>
      <c r="B85" s="44">
        <v>1800</v>
      </c>
      <c r="C85" s="45" t="s">
        <v>137</v>
      </c>
      <c r="D85" s="45" t="s">
        <v>132</v>
      </c>
      <c r="E85" s="43" t="s">
        <v>140</v>
      </c>
      <c r="F85" s="43">
        <v>1775</v>
      </c>
      <c r="G85" s="47">
        <v>29</v>
      </c>
      <c r="H85" s="47">
        <f>ROUND(A85*746*10000/(Q85*V85*1.732*460),1)</f>
        <v>87.9</v>
      </c>
      <c r="I85" s="47">
        <f>ROUND(A85*0.75*746*10000/(S85*W85*1.732*460),1)</f>
        <v>68.3</v>
      </c>
      <c r="J85" s="47"/>
      <c r="K85" s="47"/>
      <c r="L85" s="44">
        <v>542.5</v>
      </c>
      <c r="M85" s="44">
        <f>ROUND(A85*5250/F85,0)</f>
        <v>222</v>
      </c>
      <c r="N85" s="53">
        <f>ROUND(A85*5250*0.75/(B85-((B85-F85)*0.75)),0)</f>
        <v>166</v>
      </c>
      <c r="O85" s="44">
        <v>200</v>
      </c>
      <c r="P85" s="44">
        <v>270</v>
      </c>
      <c r="Q85" s="47">
        <v>95.3</v>
      </c>
      <c r="R85" s="47">
        <f>A85*746/(A85*746+(AD85*1.1))*100</f>
        <v>94.85418532895392</v>
      </c>
      <c r="S85" s="47">
        <v>95.5</v>
      </c>
      <c r="T85" s="47">
        <f>ROUND(A85*0.75*746/(A85*0.75*746+(AE85*1.1))*100,1)</f>
        <v>95.1</v>
      </c>
      <c r="U85" s="47">
        <v>95</v>
      </c>
      <c r="V85" s="47">
        <v>83.8</v>
      </c>
      <c r="W85" s="47">
        <v>80.8</v>
      </c>
      <c r="X85" s="47">
        <v>73.9</v>
      </c>
      <c r="Y85" s="44">
        <v>20</v>
      </c>
      <c r="Z85" s="44">
        <v>7</v>
      </c>
      <c r="AA85" s="44">
        <f>H85*13</f>
        <v>1142.7</v>
      </c>
      <c r="AB85" s="46">
        <v>23.1</v>
      </c>
      <c r="AC85" s="44">
        <v>79</v>
      </c>
      <c r="AD85" s="43">
        <f>(A85*746-(Q85/100*(A85*746)))/(Q85/100)</f>
        <v>2759.3389296956993</v>
      </c>
      <c r="AE85" s="43">
        <f>(A85*746*0.75-(S85/100*(A85*0.75*746)))/(S85/100)</f>
        <v>1977.2905759162304</v>
      </c>
      <c r="AF85" s="43">
        <f>AG85+1</f>
        <v>7</v>
      </c>
      <c r="AG85" s="43">
        <v>6</v>
      </c>
      <c r="AH85" s="43">
        <v>90</v>
      </c>
      <c r="AI85" s="43">
        <v>862</v>
      </c>
      <c r="AJ85" s="44">
        <f>AI85*$BD$1</f>
        <v>1120.6000000000001</v>
      </c>
      <c r="AK85" s="43">
        <v>338</v>
      </c>
      <c r="AL85" s="47">
        <f>$BD$1*13.6</f>
        <v>17.680000000000003</v>
      </c>
      <c r="AM85" s="43">
        <v>853</v>
      </c>
      <c r="AN85" s="43" t="s">
        <v>108</v>
      </c>
      <c r="AO85" s="43">
        <v>58</v>
      </c>
      <c r="AP85" s="44">
        <v>74</v>
      </c>
      <c r="AQ85" s="43" t="s">
        <v>125</v>
      </c>
      <c r="AR85" s="1">
        <v>60</v>
      </c>
      <c r="AS85" s="1">
        <v>30</v>
      </c>
      <c r="AY85" s="43"/>
      <c r="BC85" s="49"/>
    </row>
    <row r="86" spans="1:55" ht="14.25">
      <c r="A86" s="44">
        <v>75</v>
      </c>
      <c r="B86" s="44">
        <v>3600</v>
      </c>
      <c r="C86" s="45" t="s">
        <v>132</v>
      </c>
      <c r="D86" s="45" t="s">
        <v>132</v>
      </c>
      <c r="E86" s="43" t="s">
        <v>151</v>
      </c>
      <c r="F86" s="43">
        <v>3540</v>
      </c>
      <c r="G86" s="47">
        <v>22</v>
      </c>
      <c r="H86" s="47">
        <f>ROUND(A86*746*10000/(Q86*V86*1.732*460),1)</f>
        <v>84.9</v>
      </c>
      <c r="I86" s="47">
        <f>ROUND(A86*0.75*746*10000/(S86*W86*1.732*460),1)</f>
        <v>64.5</v>
      </c>
      <c r="J86" s="47"/>
      <c r="K86" s="47"/>
      <c r="L86" s="44">
        <v>542.5</v>
      </c>
      <c r="M86" s="44">
        <f>ROUND(A86*5250/F86,0)</f>
        <v>111</v>
      </c>
      <c r="N86" s="47">
        <f>ROUND(A86*5250*0.75/(B86-((B86-F86)*0.75)),1)</f>
        <v>83.1</v>
      </c>
      <c r="O86" s="44">
        <v>260</v>
      </c>
      <c r="P86" s="44">
        <v>270</v>
      </c>
      <c r="Q86" s="47">
        <v>93.5</v>
      </c>
      <c r="R86" s="47">
        <f>A86*746/(A86*746+(AD86*1.1))*100</f>
        <v>92.89617486338798</v>
      </c>
      <c r="S86" s="47">
        <v>93.8</v>
      </c>
      <c r="T86" s="47">
        <f>ROUND(A86*0.75*746/(A86*0.75*746+(AE86*1.1))*100,1)</f>
        <v>93.2</v>
      </c>
      <c r="U86" s="47">
        <v>93.4</v>
      </c>
      <c r="V86" s="47">
        <v>88.5</v>
      </c>
      <c r="W86" s="47">
        <v>87</v>
      </c>
      <c r="X86" s="47">
        <v>82</v>
      </c>
      <c r="Y86" s="44">
        <v>21</v>
      </c>
      <c r="Z86" s="44">
        <v>8</v>
      </c>
      <c r="AA86" s="44">
        <f>H86*13</f>
        <v>1103.7</v>
      </c>
      <c r="AB86" s="46">
        <v>17.5</v>
      </c>
      <c r="AC86" s="44">
        <v>85</v>
      </c>
      <c r="AD86" s="43">
        <f>(A86*746-(Q86/100*(A86*746)))/(Q86/100)</f>
        <v>3889.572192513369</v>
      </c>
      <c r="AE86" s="43">
        <f>(A86*746*0.75-(S86/100*(A86*0.75*746)))/(S86/100)</f>
        <v>2773.6407249466984</v>
      </c>
      <c r="AF86" s="43">
        <f>AG86+1</f>
        <v>4</v>
      </c>
      <c r="AG86" s="43">
        <v>3</v>
      </c>
      <c r="AH86" s="43">
        <v>180</v>
      </c>
      <c r="AI86" s="43">
        <v>194</v>
      </c>
      <c r="AJ86" s="44">
        <f>AI86*$BD$1</f>
        <v>252.20000000000002</v>
      </c>
      <c r="AK86" s="43">
        <v>71</v>
      </c>
      <c r="AL86" s="47">
        <f>$BD$1*8.9</f>
        <v>11.57</v>
      </c>
      <c r="AM86" s="43">
        <v>908</v>
      </c>
      <c r="AN86" s="43" t="s">
        <v>108</v>
      </c>
      <c r="AO86" s="43">
        <v>60</v>
      </c>
      <c r="AP86" s="44">
        <v>80</v>
      </c>
      <c r="AQ86" s="43" t="s">
        <v>125</v>
      </c>
      <c r="AR86" s="1">
        <v>60</v>
      </c>
      <c r="AS86" s="1">
        <v>80</v>
      </c>
      <c r="AY86" s="43"/>
      <c r="BC86" s="49"/>
    </row>
    <row r="87" spans="1:55" ht="14.25">
      <c r="A87" s="44"/>
      <c r="B87" s="44"/>
      <c r="C87" s="45"/>
      <c r="D87" s="45"/>
      <c r="E87" s="43"/>
      <c r="F87" s="43"/>
      <c r="G87" s="47"/>
      <c r="H87" s="47"/>
      <c r="I87" s="47"/>
      <c r="J87" s="47"/>
      <c r="K87" s="47"/>
      <c r="L87" s="44"/>
      <c r="M87" s="44"/>
      <c r="N87" s="44"/>
      <c r="O87" s="44"/>
      <c r="P87" s="44"/>
      <c r="Q87" s="47"/>
      <c r="R87" s="47"/>
      <c r="S87" s="47"/>
      <c r="T87" s="47"/>
      <c r="U87" s="47"/>
      <c r="V87" s="47"/>
      <c r="W87" s="47"/>
      <c r="X87" s="47"/>
      <c r="Y87" s="44"/>
      <c r="Z87" s="44"/>
      <c r="AA87" s="44"/>
      <c r="AB87" s="46"/>
      <c r="AC87" s="44"/>
      <c r="AD87" s="43"/>
      <c r="AE87" s="43"/>
      <c r="AF87" s="43"/>
      <c r="AG87" s="43"/>
      <c r="AH87" s="43"/>
      <c r="AI87" s="43"/>
      <c r="AJ87" s="44"/>
      <c r="AK87" s="43"/>
      <c r="AL87" s="47"/>
      <c r="AM87" s="43"/>
      <c r="AN87" s="43"/>
      <c r="AO87" s="43"/>
      <c r="AP87" s="44"/>
      <c r="AQ87" s="43"/>
      <c r="AY87" s="43"/>
      <c r="BC87" s="49"/>
    </row>
    <row r="88" spans="1:55" ht="14.25">
      <c r="A88" s="44">
        <v>100</v>
      </c>
      <c r="B88" s="44">
        <v>900</v>
      </c>
      <c r="C88" s="45" t="s">
        <v>148</v>
      </c>
      <c r="D88" s="45" t="s">
        <v>149</v>
      </c>
      <c r="E88" s="43" t="s">
        <v>152</v>
      </c>
      <c r="F88" s="43">
        <v>881</v>
      </c>
      <c r="G88" s="47">
        <v>38</v>
      </c>
      <c r="H88" s="44">
        <f>ROUND(A88*746*10000/(Q88*V88*1.732*460),0)</f>
        <v>122</v>
      </c>
      <c r="I88" s="47">
        <f>ROUND(A88*0.75*746*10000/(S88*W88*1.732*460),1)</f>
        <v>95</v>
      </c>
      <c r="J88" s="47"/>
      <c r="K88" s="47"/>
      <c r="L88" s="44">
        <v>720</v>
      </c>
      <c r="M88" s="44">
        <f>ROUND(A88*5250/F88,0)</f>
        <v>596</v>
      </c>
      <c r="N88" s="53">
        <f>ROUND(A88*5250*0.75/(B88-((B88-F88)*0.75)),0)</f>
        <v>445</v>
      </c>
      <c r="O88" s="44">
        <v>190</v>
      </c>
      <c r="P88" s="44">
        <v>240</v>
      </c>
      <c r="Q88" s="47">
        <v>92.4</v>
      </c>
      <c r="R88" s="47">
        <f>A88*746/(A88*746+(AD88*1.1))*100</f>
        <v>91.70305676855897</v>
      </c>
      <c r="S88" s="47">
        <v>93</v>
      </c>
      <c r="T88" s="47">
        <f>ROUND(A88*0.75*746/(A88*0.75*746+(AE88*1.2))*100,1)</f>
        <v>91.7</v>
      </c>
      <c r="U88" s="47">
        <v>92.8</v>
      </c>
      <c r="V88" s="47">
        <v>83.2</v>
      </c>
      <c r="W88" s="47">
        <v>79.5</v>
      </c>
      <c r="X88" s="47">
        <v>73.1</v>
      </c>
      <c r="Y88" s="44">
        <v>27</v>
      </c>
      <c r="Z88" s="44">
        <v>9</v>
      </c>
      <c r="AA88" s="44">
        <f>H88*13</f>
        <v>1586</v>
      </c>
      <c r="AB88" s="46"/>
      <c r="AC88" s="43">
        <v>69</v>
      </c>
      <c r="AD88" s="43">
        <f>(A88*746-(Q88/100*(A88*746)))/(Q88/100)</f>
        <v>6135.930735930726</v>
      </c>
      <c r="AE88" s="43">
        <f>(A88*746*0.75-(S88/100*(A88*0.75*746)))/(S88/100)</f>
        <v>4211.290322580645</v>
      </c>
      <c r="AF88" s="43"/>
      <c r="AG88" s="43"/>
      <c r="AH88" s="43"/>
      <c r="AI88" s="43">
        <v>7080</v>
      </c>
      <c r="AJ88" s="44">
        <f>AI88*1</f>
        <v>7080</v>
      </c>
      <c r="AK88" s="43">
        <v>2372</v>
      </c>
      <c r="AL88" s="47">
        <v>85.4</v>
      </c>
      <c r="AM88" s="43">
        <v>2291</v>
      </c>
      <c r="AN88" s="43" t="s">
        <v>108</v>
      </c>
      <c r="AO88" s="43">
        <v>71</v>
      </c>
      <c r="AP88" s="44">
        <v>98</v>
      </c>
      <c r="AQ88" s="43" t="s">
        <v>125</v>
      </c>
      <c r="AR88" s="1" t="s">
        <v>110</v>
      </c>
      <c r="AS88" s="1" t="s">
        <v>110</v>
      </c>
      <c r="AY88" s="43"/>
      <c r="BC88" s="49"/>
    </row>
    <row r="89" spans="1:55" ht="14.25">
      <c r="A89" s="44">
        <v>100</v>
      </c>
      <c r="B89" s="44">
        <v>1200</v>
      </c>
      <c r="C89" s="45" t="s">
        <v>148</v>
      </c>
      <c r="D89" s="45" t="s">
        <v>149</v>
      </c>
      <c r="E89" s="43" t="s">
        <v>150</v>
      </c>
      <c r="F89" s="43">
        <v>1183</v>
      </c>
      <c r="G89" s="47">
        <v>41</v>
      </c>
      <c r="H89" s="44">
        <f>ROUND(A89*746*10000/(Q89*V89*1.732*460),0)</f>
        <v>122</v>
      </c>
      <c r="I89" s="47">
        <f>ROUND(A89*0.75*746*10000/(S89*W89*1.732*460),1)</f>
        <v>94.3</v>
      </c>
      <c r="J89" s="47"/>
      <c r="K89" s="47"/>
      <c r="L89" s="44">
        <v>725</v>
      </c>
      <c r="M89" s="44">
        <f>ROUND(A89*5250/F89,0)</f>
        <v>444</v>
      </c>
      <c r="N89" s="53">
        <f>ROUND(A89*5250*0.75/(B89-((B89-F89)*0.75)),0)</f>
        <v>332</v>
      </c>
      <c r="O89" s="44">
        <v>200</v>
      </c>
      <c r="P89" s="44">
        <v>225</v>
      </c>
      <c r="Q89" s="47">
        <v>95.5</v>
      </c>
      <c r="R89" s="47">
        <f>A89*746/(A89*746+(AD89*1.1))*100</f>
        <v>95.07217521154804</v>
      </c>
      <c r="S89" s="47">
        <v>95.7</v>
      </c>
      <c r="T89" s="47">
        <f>ROUND(A89*0.75*746/(A89*0.75*746+(AE89*1.1))*100,1)</f>
        <v>95.3</v>
      </c>
      <c r="U89" s="47">
        <v>95.2</v>
      </c>
      <c r="V89" s="47">
        <v>80.1</v>
      </c>
      <c r="W89" s="47">
        <v>77.8</v>
      </c>
      <c r="X89" s="47">
        <v>69.8</v>
      </c>
      <c r="Y89" s="44">
        <v>18</v>
      </c>
      <c r="Z89" s="44">
        <v>9</v>
      </c>
      <c r="AA89" s="44">
        <f>H89*13</f>
        <v>1586</v>
      </c>
      <c r="AB89" s="46">
        <v>32.6</v>
      </c>
      <c r="AC89" s="44">
        <v>76</v>
      </c>
      <c r="AD89" s="43">
        <f>(A89*746-(Q89/100*(A89*746)))/(Q89/100)</f>
        <v>3515.1832460732985</v>
      </c>
      <c r="AE89" s="43">
        <f>(A89*746*0.75-(S89/100*(A89*0.75*746)))/(S89/100)</f>
        <v>2513.9498432601863</v>
      </c>
      <c r="AF89" s="43">
        <f>AG89+1</f>
        <v>7</v>
      </c>
      <c r="AG89" s="43">
        <v>6</v>
      </c>
      <c r="AH89" s="43">
        <v>97</v>
      </c>
      <c r="AI89" s="43">
        <v>3300</v>
      </c>
      <c r="AJ89" s="44">
        <f>AI89*$BD$1</f>
        <v>4290</v>
      </c>
      <c r="AK89" s="43">
        <v>1181</v>
      </c>
      <c r="AL89" s="47">
        <f>$BD$1*44.5</f>
        <v>57.85</v>
      </c>
      <c r="AM89" s="43">
        <v>1764</v>
      </c>
      <c r="AN89" s="43" t="s">
        <v>108</v>
      </c>
      <c r="AO89" s="43">
        <v>62</v>
      </c>
      <c r="AP89" s="44">
        <v>81</v>
      </c>
      <c r="AQ89" s="43" t="s">
        <v>125</v>
      </c>
      <c r="AR89" s="1">
        <v>60</v>
      </c>
      <c r="AS89" s="1">
        <v>85</v>
      </c>
      <c r="AY89" s="43"/>
      <c r="BC89" s="49"/>
    </row>
    <row r="90" spans="1:55" ht="14.25">
      <c r="A90" s="44">
        <v>100</v>
      </c>
      <c r="B90" s="44">
        <v>1800</v>
      </c>
      <c r="C90" s="45" t="s">
        <v>142</v>
      </c>
      <c r="D90" s="45" t="s">
        <v>143</v>
      </c>
      <c r="E90" s="43" t="s">
        <v>146</v>
      </c>
      <c r="F90" s="43">
        <v>1776</v>
      </c>
      <c r="G90" s="47">
        <v>37</v>
      </c>
      <c r="H90" s="44">
        <f>ROUND(A90*746*10000/(Q90*V90*1.732*460),0)</f>
        <v>117</v>
      </c>
      <c r="I90" s="47">
        <f>ROUND(A90*0.75*746*10000/(S90*W90*1.732*460),1)</f>
        <v>90.5</v>
      </c>
      <c r="J90" s="47"/>
      <c r="K90" s="47"/>
      <c r="L90" s="44">
        <v>725</v>
      </c>
      <c r="M90" s="44">
        <f>ROUND(A90*5250/F90,0)</f>
        <v>296</v>
      </c>
      <c r="N90" s="53">
        <f>ROUND(A90*5250*0.75/(B90-((B90-F90)*0.75)),0)</f>
        <v>221</v>
      </c>
      <c r="O90" s="44">
        <v>200</v>
      </c>
      <c r="P90" s="44">
        <v>256</v>
      </c>
      <c r="Q90" s="47">
        <v>95.4</v>
      </c>
      <c r="R90" s="47">
        <f>A90*746/(A90*746+(AD90*1.1))*100</f>
        <v>94.96316942066497</v>
      </c>
      <c r="S90" s="47">
        <v>95.6</v>
      </c>
      <c r="T90" s="47">
        <f>ROUND(A90*0.75*746/(A90*0.75*746+(AE90*1.1))*100,1)</f>
        <v>95.2</v>
      </c>
      <c r="U90" s="47">
        <v>95.3</v>
      </c>
      <c r="V90" s="47">
        <v>84.1</v>
      </c>
      <c r="W90" s="47">
        <v>81.2</v>
      </c>
      <c r="X90" s="47">
        <v>74.3</v>
      </c>
      <c r="Y90" s="44">
        <v>19</v>
      </c>
      <c r="Z90" s="44">
        <v>9</v>
      </c>
      <c r="AA90" s="44">
        <f>H90*13</f>
        <v>1521</v>
      </c>
      <c r="AB90" s="46">
        <v>29.5</v>
      </c>
      <c r="AC90" s="44">
        <v>79</v>
      </c>
      <c r="AD90" s="43">
        <f>(A90*746-(Q90/100*(A90*746)))/(Q90/100)</f>
        <v>3597.0649895178103</v>
      </c>
      <c r="AE90" s="43">
        <f>(A90*746*0.75-(S90/100*(A90*0.75*746)))/(S90/100)</f>
        <v>2575.1046025104633</v>
      </c>
      <c r="AF90" s="43">
        <f>AG90+1</f>
        <v>6</v>
      </c>
      <c r="AG90" s="43">
        <v>5</v>
      </c>
      <c r="AH90" s="43">
        <v>110</v>
      </c>
      <c r="AI90" s="43">
        <v>1062</v>
      </c>
      <c r="AJ90" s="44">
        <f>AI90*$BD$1</f>
        <v>1380.6000000000001</v>
      </c>
      <c r="AK90" s="43">
        <v>441</v>
      </c>
      <c r="AL90" s="47">
        <f>$BD$1*21.9</f>
        <v>28.470000000000002</v>
      </c>
      <c r="AM90" s="43">
        <v>1324</v>
      </c>
      <c r="AN90" s="43" t="s">
        <v>108</v>
      </c>
      <c r="AO90" s="43">
        <v>69</v>
      </c>
      <c r="AP90" s="44">
        <v>87</v>
      </c>
      <c r="AQ90" s="43" t="s">
        <v>125</v>
      </c>
      <c r="AR90" s="1">
        <v>60</v>
      </c>
      <c r="AS90" s="1">
        <v>80</v>
      </c>
      <c r="AY90" s="43"/>
      <c r="BC90" s="49"/>
    </row>
    <row r="91" spans="1:55" ht="14.25">
      <c r="A91" s="44">
        <v>100</v>
      </c>
      <c r="B91" s="44">
        <v>3600</v>
      </c>
      <c r="C91" s="45" t="s">
        <v>143</v>
      </c>
      <c r="D91" s="45" t="s">
        <v>143</v>
      </c>
      <c r="E91" s="43" t="s">
        <v>153</v>
      </c>
      <c r="F91" s="43">
        <v>3557</v>
      </c>
      <c r="G91" s="47">
        <v>26.5</v>
      </c>
      <c r="H91" s="44">
        <f>ROUND(A91*746*10000/(Q91*V91*1.732*460),0)</f>
        <v>112</v>
      </c>
      <c r="I91" s="47">
        <f>ROUND(A91*0.75*746*10000/(S91*W91*1.732*460),1)</f>
        <v>85.8</v>
      </c>
      <c r="J91" s="47"/>
      <c r="K91" s="47"/>
      <c r="L91" s="44">
        <v>725</v>
      </c>
      <c r="M91" s="44">
        <f>ROUND(A91*5250/F91,0)</f>
        <v>148</v>
      </c>
      <c r="N91" s="53">
        <f>ROUND(A91*5250*0.75/(B91-((B91-F91)*0.75)),0)</f>
        <v>110</v>
      </c>
      <c r="O91" s="44">
        <v>215</v>
      </c>
      <c r="P91" s="44">
        <v>260</v>
      </c>
      <c r="Q91" s="47">
        <v>95</v>
      </c>
      <c r="R91" s="47">
        <f>A91*746/(A91*746+(AD91*1.1))*100</f>
        <v>94.5273631840796</v>
      </c>
      <c r="S91" s="47">
        <v>95</v>
      </c>
      <c r="T91" s="47">
        <f>ROUND(A91*0.75*746/(A91*0.75*746+(AE91*1.1))*100,1)</f>
        <v>94.5</v>
      </c>
      <c r="U91" s="47">
        <v>94.8</v>
      </c>
      <c r="V91" s="47">
        <v>87.8</v>
      </c>
      <c r="W91" s="47">
        <v>86.2</v>
      </c>
      <c r="X91" s="47">
        <v>81</v>
      </c>
      <c r="Y91" s="44">
        <v>20</v>
      </c>
      <c r="Z91" s="44">
        <v>10</v>
      </c>
      <c r="AA91" s="44">
        <f>H91*13</f>
        <v>1456</v>
      </c>
      <c r="AB91" s="46">
        <v>21.1</v>
      </c>
      <c r="AC91" s="44">
        <v>85</v>
      </c>
      <c r="AD91" s="43">
        <f>(A91*746-(Q91/100*(A91*746)))/(Q91/100)</f>
        <v>3926.3157894736846</v>
      </c>
      <c r="AE91" s="43">
        <f>(A91*746*0.75-(S91/100*(A91*0.75*746)))/(S91/100)</f>
        <v>2944.7368421052633</v>
      </c>
      <c r="AF91" s="43">
        <f>AG91+1</f>
        <v>4</v>
      </c>
      <c r="AG91" s="43">
        <v>3</v>
      </c>
      <c r="AH91" s="43">
        <v>220</v>
      </c>
      <c r="AI91" s="43">
        <v>262</v>
      </c>
      <c r="AJ91" s="44">
        <f>AI91*$BD$1</f>
        <v>340.6</v>
      </c>
      <c r="AK91" s="43">
        <v>92</v>
      </c>
      <c r="AL91" s="47">
        <f>$BD$1*15.4</f>
        <v>20.02</v>
      </c>
      <c r="AM91" s="43">
        <v>1357</v>
      </c>
      <c r="AN91" s="43" t="s">
        <v>108</v>
      </c>
      <c r="AO91" s="43">
        <v>67</v>
      </c>
      <c r="AP91" s="44">
        <v>89</v>
      </c>
      <c r="AQ91" s="43" t="s">
        <v>125</v>
      </c>
      <c r="AR91" s="1">
        <v>60</v>
      </c>
      <c r="AS91" s="1">
        <v>75</v>
      </c>
      <c r="AY91" s="43"/>
      <c r="BC91" s="49"/>
    </row>
    <row r="92" spans="1:55" ht="14.25">
      <c r="A92" s="44"/>
      <c r="B92" s="43"/>
      <c r="C92" s="45"/>
      <c r="D92" s="51"/>
      <c r="E92" s="43"/>
      <c r="F92" s="43"/>
      <c r="G92" s="47"/>
      <c r="H92" s="44"/>
      <c r="I92" s="47"/>
      <c r="J92" s="47"/>
      <c r="K92" s="47"/>
      <c r="L92" s="44"/>
      <c r="M92" s="44"/>
      <c r="N92" s="44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6"/>
      <c r="AC92" s="44"/>
      <c r="AD92" s="43"/>
      <c r="AE92" s="43"/>
      <c r="AF92" s="43"/>
      <c r="AG92" s="43"/>
      <c r="AH92" s="43"/>
      <c r="AI92" s="43"/>
      <c r="AJ92" s="44"/>
      <c r="AK92" s="43"/>
      <c r="AL92" s="47"/>
      <c r="AM92" s="43"/>
      <c r="AN92" s="43"/>
      <c r="AO92" s="43"/>
      <c r="AP92" s="43"/>
      <c r="AQ92" s="43"/>
      <c r="AY92" s="43"/>
      <c r="BC92" s="49"/>
    </row>
    <row r="93" spans="1:55" ht="14.25">
      <c r="A93" s="44">
        <v>125</v>
      </c>
      <c r="B93" s="44">
        <v>900</v>
      </c>
      <c r="C93" s="45" t="s">
        <v>154</v>
      </c>
      <c r="D93" s="45" t="s">
        <v>149</v>
      </c>
      <c r="E93" s="43" t="s">
        <v>155</v>
      </c>
      <c r="F93" s="43">
        <v>885</v>
      </c>
      <c r="G93" s="47">
        <v>52.5</v>
      </c>
      <c r="H93" s="44">
        <f>ROUND(A93*746*10000/(Q93*V93*1.732*460),0)</f>
        <v>156</v>
      </c>
      <c r="I93" s="53">
        <f>ROUND(A93*0.75*746*10000/(S93*W93*1.732*460),0)</f>
        <v>121</v>
      </c>
      <c r="J93" s="53"/>
      <c r="K93" s="53"/>
      <c r="L93" s="44">
        <v>815</v>
      </c>
      <c r="M93" s="44">
        <f>ROUND(A93*5250/F93,0)</f>
        <v>742</v>
      </c>
      <c r="N93" s="53">
        <f>ROUND(A93*5250*0.75/(B93-((B93-F93)*0.75)),0)</f>
        <v>554</v>
      </c>
      <c r="O93" s="44">
        <v>125</v>
      </c>
      <c r="P93" s="44">
        <v>220</v>
      </c>
      <c r="Q93" s="47">
        <v>93.6</v>
      </c>
      <c r="R93" s="47">
        <f>A93*746/(A93*746+(AD93*1.1))*100</f>
        <v>93.0047694753577</v>
      </c>
      <c r="S93" s="47">
        <v>93.8</v>
      </c>
      <c r="T93" s="47">
        <f>ROUND(A93*0.75*746/(A93*0.75*746+(AE93*1.2))*100,1)</f>
        <v>92.7</v>
      </c>
      <c r="U93" s="47">
        <v>93.3</v>
      </c>
      <c r="V93" s="47">
        <v>80.2</v>
      </c>
      <c r="W93" s="47">
        <v>77.3</v>
      </c>
      <c r="X93" s="47">
        <v>69.7</v>
      </c>
      <c r="Y93" s="44">
        <v>30</v>
      </c>
      <c r="Z93" s="44">
        <v>12</v>
      </c>
      <c r="AA93" s="44">
        <f>H93*13</f>
        <v>2028</v>
      </c>
      <c r="AB93" s="46"/>
      <c r="AC93" s="43">
        <v>69</v>
      </c>
      <c r="AD93" s="43">
        <f>(A93*746-(Q93/100*(A93*746)))/(Q93/100)</f>
        <v>6376.068376068377</v>
      </c>
      <c r="AE93" s="43">
        <f>(A93*746*0.75-(S93/100*(A93*0.75*746)))/(S93/100)</f>
        <v>4622.734541577825</v>
      </c>
      <c r="AF93" s="43"/>
      <c r="AG93" s="43"/>
      <c r="AH93" s="43"/>
      <c r="AI93" s="43">
        <v>7900</v>
      </c>
      <c r="AJ93" s="44">
        <f>AI93*1</f>
        <v>7900</v>
      </c>
      <c r="AK93" s="43">
        <v>2919</v>
      </c>
      <c r="AL93" s="47">
        <v>80.7</v>
      </c>
      <c r="AM93" s="43">
        <v>2943</v>
      </c>
      <c r="AN93" s="43" t="s">
        <v>108</v>
      </c>
      <c r="AO93" s="43">
        <v>64</v>
      </c>
      <c r="AP93" s="44">
        <v>83</v>
      </c>
      <c r="AQ93" s="43" t="s">
        <v>125</v>
      </c>
      <c r="AR93" s="1" t="s">
        <v>110</v>
      </c>
      <c r="AS93" s="1" t="s">
        <v>110</v>
      </c>
      <c r="AY93" s="43"/>
      <c r="BC93" s="49"/>
    </row>
    <row r="94" spans="1:55" ht="14.25">
      <c r="A94" s="44">
        <v>125</v>
      </c>
      <c r="B94" s="44">
        <v>1200</v>
      </c>
      <c r="C94" s="45" t="s">
        <v>148</v>
      </c>
      <c r="D94" s="45" t="s">
        <v>149</v>
      </c>
      <c r="E94" s="43" t="s">
        <v>152</v>
      </c>
      <c r="F94" s="43">
        <v>1186</v>
      </c>
      <c r="G94" s="47">
        <v>64</v>
      </c>
      <c r="H94" s="44">
        <f>ROUND(A94*746*10000/(Q94*V94*1.732*460),0)</f>
        <v>155</v>
      </c>
      <c r="I94" s="53">
        <f>ROUND(A94*0.75*746*10000/(S94*W94*1.732*460),0)</f>
        <v>119</v>
      </c>
      <c r="J94" s="53"/>
      <c r="K94" s="53"/>
      <c r="L94" s="44">
        <v>907.5</v>
      </c>
      <c r="M94" s="44">
        <f>ROUND(A94*5250/F94,0)</f>
        <v>553</v>
      </c>
      <c r="N94" s="53">
        <f>ROUND(A94*5250*0.75/(B94-((B94-F94)*0.75)),0)</f>
        <v>414</v>
      </c>
      <c r="O94" s="44">
        <v>206</v>
      </c>
      <c r="P94" s="44">
        <v>230</v>
      </c>
      <c r="Q94" s="47">
        <v>95.5</v>
      </c>
      <c r="R94" s="47">
        <f>A94*746/(A94*746+(AD94*1.1))*100</f>
        <v>95.07217521154803</v>
      </c>
      <c r="S94" s="47">
        <v>95.6</v>
      </c>
      <c r="T94" s="47">
        <f>ROUND(A94*0.75*746/(A94*0.75*746+(AE94*1.1))*100,1)</f>
        <v>95.2</v>
      </c>
      <c r="U94" s="47">
        <v>95.5</v>
      </c>
      <c r="V94" s="47">
        <v>79.1</v>
      </c>
      <c r="W94" s="47">
        <v>77</v>
      </c>
      <c r="X94" s="47">
        <v>69</v>
      </c>
      <c r="Y94" s="44">
        <v>15</v>
      </c>
      <c r="Z94" s="44">
        <v>8</v>
      </c>
      <c r="AA94" s="44">
        <f>H94*13</f>
        <v>2015</v>
      </c>
      <c r="AB94" s="46">
        <v>51</v>
      </c>
      <c r="AC94" s="44">
        <v>74</v>
      </c>
      <c r="AD94" s="43">
        <f>(A94*746-(Q94/100*(A94*746)))/(Q94/100)</f>
        <v>4393.979057591623</v>
      </c>
      <c r="AE94" s="43">
        <f>(A94*746*0.75-(S94/100*(A94*0.75*746)))/(S94/100)</f>
        <v>3218.8807531380753</v>
      </c>
      <c r="AF94" s="43">
        <f>AG94+1</f>
        <v>7</v>
      </c>
      <c r="AG94" s="43">
        <v>6</v>
      </c>
      <c r="AH94" s="43">
        <v>120</v>
      </c>
      <c r="AI94" s="43">
        <v>3560</v>
      </c>
      <c r="AJ94" s="44">
        <f>AI94*$BD$1</f>
        <v>4628</v>
      </c>
      <c r="AK94" s="43">
        <v>1452</v>
      </c>
      <c r="AL94" s="47">
        <f>$BD$1*51.1</f>
        <v>66.43</v>
      </c>
      <c r="AM94" s="43">
        <v>1919</v>
      </c>
      <c r="AN94" s="43" t="s">
        <v>108</v>
      </c>
      <c r="AO94" s="43">
        <v>67</v>
      </c>
      <c r="AP94" s="44">
        <v>88</v>
      </c>
      <c r="AQ94" s="43" t="s">
        <v>125</v>
      </c>
      <c r="AR94" s="1">
        <v>60</v>
      </c>
      <c r="AS94" s="1">
        <v>85</v>
      </c>
      <c r="AY94" s="43"/>
      <c r="BC94" s="49"/>
    </row>
    <row r="95" spans="1:55" ht="14.25">
      <c r="A95" s="44">
        <v>125</v>
      </c>
      <c r="B95" s="44">
        <v>1800</v>
      </c>
      <c r="C95" s="45" t="s">
        <v>148</v>
      </c>
      <c r="D95" s="45" t="s">
        <v>149</v>
      </c>
      <c r="E95" s="43" t="s">
        <v>150</v>
      </c>
      <c r="F95" s="43">
        <v>1785</v>
      </c>
      <c r="G95" s="47">
        <v>46</v>
      </c>
      <c r="H95" s="44">
        <f>ROUND(A95*746*10000/(Q95*V95*1.732*460),0)</f>
        <v>145</v>
      </c>
      <c r="I95" s="53">
        <f>ROUND(A95*0.75*746*10000/(S95*W95*1.732*460),0)</f>
        <v>113</v>
      </c>
      <c r="J95" s="53"/>
      <c r="K95" s="53"/>
      <c r="L95" s="44">
        <v>907.5</v>
      </c>
      <c r="M95" s="44">
        <f>ROUND(A95*5250/F95,0)</f>
        <v>368</v>
      </c>
      <c r="N95" s="53">
        <f>ROUND(A95*5250*0.75/(B95-((B95-F95)*0.75)),0)</f>
        <v>275</v>
      </c>
      <c r="O95" s="44">
        <v>216</v>
      </c>
      <c r="P95" s="44">
        <v>256</v>
      </c>
      <c r="Q95" s="47">
        <v>95.7</v>
      </c>
      <c r="R95" s="47">
        <f>A95*746/(A95*746+(AD95*1.1))*100</f>
        <v>95.29025191675795</v>
      </c>
      <c r="S95" s="47">
        <v>95.7</v>
      </c>
      <c r="T95" s="47">
        <f>ROUND(A95*0.75*746/(A95*0.75*746+(AE95*1.1))*100,1)</f>
        <v>95.3</v>
      </c>
      <c r="U95" s="47">
        <v>95</v>
      </c>
      <c r="V95" s="47">
        <v>84.1</v>
      </c>
      <c r="W95" s="47">
        <v>81.1</v>
      </c>
      <c r="X95" s="47">
        <v>73.3</v>
      </c>
      <c r="Y95" s="44">
        <v>18</v>
      </c>
      <c r="Z95" s="44">
        <v>11</v>
      </c>
      <c r="AA95" s="44">
        <f>H95*13</f>
        <v>1885</v>
      </c>
      <c r="AB95" s="46">
        <v>36.6</v>
      </c>
      <c r="AC95" s="44">
        <v>84</v>
      </c>
      <c r="AD95" s="43">
        <f>(A95*746-(Q95/100*(A95*746)))/(Q95/100)</f>
        <v>4189.916405433646</v>
      </c>
      <c r="AE95" s="43">
        <f>(A95*746*0.75-(S95/100*(A95*0.75*746)))/(S95/100)</f>
        <v>3142.437304075235</v>
      </c>
      <c r="AF95" s="43">
        <f>AG95+1</f>
        <v>6</v>
      </c>
      <c r="AG95" s="43">
        <v>5</v>
      </c>
      <c r="AH95" s="43">
        <v>140</v>
      </c>
      <c r="AI95" s="43">
        <v>1490</v>
      </c>
      <c r="AJ95" s="44">
        <f>AI95*$BD$1</f>
        <v>1937</v>
      </c>
      <c r="AK95" s="43">
        <v>542</v>
      </c>
      <c r="AL95" s="47">
        <f>$BD$1*34.4</f>
        <v>44.72</v>
      </c>
      <c r="AM95" s="43">
        <v>1762</v>
      </c>
      <c r="AN95" s="43" t="s">
        <v>108</v>
      </c>
      <c r="AO95" s="43">
        <v>61</v>
      </c>
      <c r="AP95" s="44">
        <v>79</v>
      </c>
      <c r="AQ95" s="43" t="s">
        <v>125</v>
      </c>
      <c r="AR95" s="1">
        <v>60</v>
      </c>
      <c r="AS95" s="1">
        <v>70</v>
      </c>
      <c r="AY95" s="43"/>
      <c r="BC95" s="49"/>
    </row>
    <row r="96" spans="1:55" ht="14.25">
      <c r="A96" s="44">
        <v>125</v>
      </c>
      <c r="B96" s="44">
        <v>3600</v>
      </c>
      <c r="C96" s="45" t="s">
        <v>143</v>
      </c>
      <c r="D96" s="45" t="s">
        <v>143</v>
      </c>
      <c r="E96" s="43" t="s">
        <v>156</v>
      </c>
      <c r="F96" s="43">
        <v>3575</v>
      </c>
      <c r="G96" s="47">
        <v>36.5</v>
      </c>
      <c r="H96" s="44">
        <f>ROUND(A96*746*10000/(Q96*V96*1.732*460),0)</f>
        <v>139</v>
      </c>
      <c r="I96" s="53">
        <f>ROUND(A96*0.75*746*10000/(S96*W96*1.732*460),0)</f>
        <v>105</v>
      </c>
      <c r="J96" s="53"/>
      <c r="K96" s="53"/>
      <c r="L96" s="44">
        <v>907.5</v>
      </c>
      <c r="M96" s="44">
        <f>ROUND(A96*5250/F96,0)</f>
        <v>184</v>
      </c>
      <c r="N96" s="53">
        <f>ROUND(A96*5250*0.75/(B96-((B96-F96)*0.75)),0)</f>
        <v>137</v>
      </c>
      <c r="O96" s="44">
        <v>215</v>
      </c>
      <c r="P96" s="44">
        <v>265</v>
      </c>
      <c r="Q96" s="47">
        <v>95.3</v>
      </c>
      <c r="R96" s="47">
        <f>A96*746/(A96*746+(AD96*1.1))*100</f>
        <v>94.85418532895392</v>
      </c>
      <c r="S96" s="47">
        <v>95.2</v>
      </c>
      <c r="T96" s="47">
        <f>ROUND(A96*0.75*746/(A96*0.75*746+(AE96*1.1))*100,1)</f>
        <v>94.7</v>
      </c>
      <c r="U96" s="47">
        <v>94.8</v>
      </c>
      <c r="V96" s="47">
        <v>88.2</v>
      </c>
      <c r="W96" s="47">
        <v>87.5</v>
      </c>
      <c r="X96" s="47">
        <v>84.3</v>
      </c>
      <c r="Y96" s="44">
        <v>19</v>
      </c>
      <c r="Z96" s="44">
        <v>10</v>
      </c>
      <c r="AA96" s="44">
        <f>H96*13</f>
        <v>1807</v>
      </c>
      <c r="AB96" s="46">
        <v>29</v>
      </c>
      <c r="AC96" s="44">
        <v>85</v>
      </c>
      <c r="AD96" s="43">
        <f>(A96*746-(Q96/100*(A96*746)))/(Q96/100)</f>
        <v>4598.898216159497</v>
      </c>
      <c r="AE96" s="43">
        <f>(A96*746*0.75-(S96/100*(A96*0.75*746)))/(S96/100)</f>
        <v>3526.2605042016803</v>
      </c>
      <c r="AF96" s="43">
        <f>AG96+1</f>
        <v>4</v>
      </c>
      <c r="AG96" s="43">
        <v>3</v>
      </c>
      <c r="AH96" s="43">
        <v>275</v>
      </c>
      <c r="AI96" s="43">
        <v>430</v>
      </c>
      <c r="AJ96" s="44">
        <f>AI96*$BD$1</f>
        <v>559</v>
      </c>
      <c r="AK96" s="43">
        <v>113</v>
      </c>
      <c r="AL96" s="47">
        <f>$BD$1*27.9</f>
        <v>36.27</v>
      </c>
      <c r="AM96" s="43">
        <v>1873</v>
      </c>
      <c r="AN96" s="43" t="s">
        <v>108</v>
      </c>
      <c r="AO96" s="43">
        <v>62</v>
      </c>
      <c r="AP96" s="44">
        <v>75</v>
      </c>
      <c r="AQ96" s="43" t="s">
        <v>125</v>
      </c>
      <c r="AR96" s="1">
        <v>30</v>
      </c>
      <c r="AS96" s="1">
        <v>85</v>
      </c>
      <c r="AY96" s="43"/>
      <c r="BC96" s="49"/>
    </row>
    <row r="97" spans="1:55" ht="14.25">
      <c r="A97" s="44"/>
      <c r="B97" s="43"/>
      <c r="C97" s="51"/>
      <c r="D97" s="51"/>
      <c r="E97" s="43"/>
      <c r="F97" s="43"/>
      <c r="G97" s="47"/>
      <c r="H97" s="44"/>
      <c r="I97" s="53"/>
      <c r="J97" s="53"/>
      <c r="K97" s="53"/>
      <c r="L97" s="44"/>
      <c r="M97" s="44"/>
      <c r="N97" s="44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6"/>
      <c r="AC97" s="43"/>
      <c r="AD97" s="43"/>
      <c r="AE97" s="43"/>
      <c r="AF97" s="43"/>
      <c r="AG97" s="43"/>
      <c r="AH97" s="43"/>
      <c r="AI97" s="43"/>
      <c r="AJ97" s="44"/>
      <c r="AK97" s="43"/>
      <c r="AL97" s="47"/>
      <c r="AM97" s="43"/>
      <c r="AN97" s="43"/>
      <c r="AO97" s="43"/>
      <c r="AP97" s="43"/>
      <c r="AQ97" s="43"/>
      <c r="AY97" s="43"/>
      <c r="BC97" s="49"/>
    </row>
    <row r="98" spans="1:55" ht="14.25">
      <c r="A98" s="44">
        <v>150</v>
      </c>
      <c r="B98" s="44">
        <v>900</v>
      </c>
      <c r="C98" s="45" t="s">
        <v>154</v>
      </c>
      <c r="D98" s="45" t="s">
        <v>149</v>
      </c>
      <c r="E98" s="43" t="s">
        <v>155</v>
      </c>
      <c r="F98" s="43">
        <v>884</v>
      </c>
      <c r="G98" s="47">
        <v>66.25</v>
      </c>
      <c r="H98" s="44">
        <f>ROUND(A98*746*10000/(Q98*V98*1.732*460),0)</f>
        <v>187</v>
      </c>
      <c r="I98" s="53">
        <f>ROUND(A98*0.75*746*10000/(S98*W98*1.732*460),0)</f>
        <v>144</v>
      </c>
      <c r="J98" s="53"/>
      <c r="K98" s="53"/>
      <c r="L98" s="44">
        <v>1035</v>
      </c>
      <c r="M98" s="44">
        <f>ROUND(A98*5250/F98,0)</f>
        <v>891</v>
      </c>
      <c r="N98" s="53">
        <f>ROUND(A98*5250*0.75/(B98-((B98-F98)*0.75)),0)</f>
        <v>665</v>
      </c>
      <c r="O98" s="44">
        <v>130</v>
      </c>
      <c r="P98" s="44">
        <v>225</v>
      </c>
      <c r="Q98" s="47">
        <v>93.6</v>
      </c>
      <c r="R98" s="47">
        <f>A98*746/(A98*746+(AD98*1.1))*100</f>
        <v>93.0047694753577</v>
      </c>
      <c r="S98" s="47">
        <v>93.7</v>
      </c>
      <c r="T98" s="47">
        <f>ROUND(A98*0.75*746/(A98*0.75*746+(AE98*1.2))*100,1)</f>
        <v>92.5</v>
      </c>
      <c r="U98" s="47">
        <v>93.5</v>
      </c>
      <c r="V98" s="47">
        <v>80.2</v>
      </c>
      <c r="W98" s="47">
        <v>78.1</v>
      </c>
      <c r="X98" s="47">
        <v>69.5</v>
      </c>
      <c r="Y98" s="44">
        <v>33</v>
      </c>
      <c r="Z98" s="44">
        <v>14</v>
      </c>
      <c r="AA98" s="44">
        <f>H98*13</f>
        <v>2431</v>
      </c>
      <c r="AB98" s="46"/>
      <c r="AC98" s="44">
        <v>71</v>
      </c>
      <c r="AD98" s="43">
        <f>(A98*746-(Q98/100*(A98*746)))/(Q98/100)</f>
        <v>7651.282051282058</v>
      </c>
      <c r="AE98" s="43">
        <f>(A98*746*0.75-(S98/100*(A98*0.75*746)))/(S98/100)</f>
        <v>5642.769477054422</v>
      </c>
      <c r="AF98" s="43"/>
      <c r="AG98" s="43"/>
      <c r="AH98" s="43"/>
      <c r="AI98" s="43">
        <v>10200</v>
      </c>
      <c r="AJ98" s="44">
        <f>AI98*1</f>
        <v>10200</v>
      </c>
      <c r="AK98" s="43">
        <v>3456</v>
      </c>
      <c r="AL98" s="47">
        <v>92</v>
      </c>
      <c r="AM98" s="43">
        <v>4213</v>
      </c>
      <c r="AN98" s="43" t="s">
        <v>108</v>
      </c>
      <c r="AO98" s="43">
        <v>68</v>
      </c>
      <c r="AP98" s="44">
        <v>88</v>
      </c>
      <c r="AQ98" s="43" t="s">
        <v>125</v>
      </c>
      <c r="AR98" s="1" t="s">
        <v>110</v>
      </c>
      <c r="AS98" s="1" t="s">
        <v>110</v>
      </c>
      <c r="AY98" s="43"/>
      <c r="BC98" s="49"/>
    </row>
    <row r="99" spans="1:55" ht="14.25">
      <c r="A99" s="44">
        <v>150</v>
      </c>
      <c r="B99" s="44">
        <v>1200</v>
      </c>
      <c r="C99" s="45" t="s">
        <v>148</v>
      </c>
      <c r="D99" s="45" t="s">
        <v>149</v>
      </c>
      <c r="E99" s="43" t="s">
        <v>157</v>
      </c>
      <c r="F99" s="43">
        <v>1184</v>
      </c>
      <c r="G99" s="47">
        <v>65</v>
      </c>
      <c r="H99" s="44">
        <f>ROUND(A99*746*10000/(Q99*V99*1.732*460),0)</f>
        <v>181</v>
      </c>
      <c r="I99" s="53">
        <f>ROUND(A99*0.75*746*10000/(S99*W99*1.732*460),0)</f>
        <v>141</v>
      </c>
      <c r="J99" s="53"/>
      <c r="K99" s="53"/>
      <c r="L99" s="44">
        <v>1085</v>
      </c>
      <c r="M99" s="44">
        <f>ROUND(A99*5250/F99,0)</f>
        <v>665</v>
      </c>
      <c r="N99" s="53">
        <f>ROUND(A99*5250*0.75/(B99-((B99-F99)*0.75)),0)</f>
        <v>497</v>
      </c>
      <c r="O99" s="44">
        <v>220</v>
      </c>
      <c r="P99" s="44">
        <v>245</v>
      </c>
      <c r="Q99" s="47">
        <v>95.8</v>
      </c>
      <c r="R99" s="47">
        <f>A99*746/(A99*746+(AD99*1.1))*100</f>
        <v>95.39932284405495</v>
      </c>
      <c r="S99" s="47">
        <v>96.2</v>
      </c>
      <c r="T99" s="47">
        <f>ROUND(A99*0.75*746/(A99*0.75*746+(AE99*1.1))*100,1)</f>
        <v>95.8</v>
      </c>
      <c r="U99" s="47">
        <v>96.1</v>
      </c>
      <c r="V99" s="47">
        <v>81.1</v>
      </c>
      <c r="W99" s="47">
        <v>77.7</v>
      </c>
      <c r="X99" s="47">
        <v>68.7</v>
      </c>
      <c r="Y99" s="44">
        <v>13</v>
      </c>
      <c r="Z99" s="44">
        <v>7</v>
      </c>
      <c r="AA99" s="44">
        <f>H99*13</f>
        <v>2353</v>
      </c>
      <c r="AB99" s="46">
        <v>51.7</v>
      </c>
      <c r="AC99" s="44">
        <v>77</v>
      </c>
      <c r="AD99" s="43">
        <f>(A99*746-(Q99/100*(A99*746)))/(Q99/100)</f>
        <v>4905.845511482258</v>
      </c>
      <c r="AE99" s="43">
        <f>(A99*746*0.75-(S99/100*(A99*0.75*746)))/(S99/100)</f>
        <v>3315.1247401247338</v>
      </c>
      <c r="AF99" s="43">
        <f>AG99+1</f>
        <v>6</v>
      </c>
      <c r="AG99" s="43">
        <v>5</v>
      </c>
      <c r="AH99" s="43">
        <v>140</v>
      </c>
      <c r="AI99" s="43">
        <v>3800</v>
      </c>
      <c r="AJ99" s="44">
        <f>AI99*$BD$1</f>
        <v>4940</v>
      </c>
      <c r="AK99" s="43">
        <v>1719</v>
      </c>
      <c r="AL99" s="47">
        <f>$BD$1*58.7</f>
        <v>76.31</v>
      </c>
      <c r="AM99" s="43">
        <v>2132</v>
      </c>
      <c r="AN99" s="43" t="s">
        <v>108</v>
      </c>
      <c r="AO99" s="43">
        <v>78</v>
      </c>
      <c r="AP99" s="44">
        <v>103</v>
      </c>
      <c r="AQ99" s="43" t="s">
        <v>125</v>
      </c>
      <c r="AR99" s="1">
        <v>60</v>
      </c>
      <c r="AS99" s="1">
        <v>80</v>
      </c>
      <c r="AY99" s="43"/>
      <c r="BC99" s="49"/>
    </row>
    <row r="100" spans="1:55" ht="14.25">
      <c r="A100" s="44">
        <v>150</v>
      </c>
      <c r="B100" s="44">
        <v>1800</v>
      </c>
      <c r="C100" s="45" t="s">
        <v>148</v>
      </c>
      <c r="D100" s="45" t="s">
        <v>149</v>
      </c>
      <c r="E100" s="43" t="s">
        <v>152</v>
      </c>
      <c r="F100" s="43">
        <v>1784</v>
      </c>
      <c r="G100" s="47">
        <v>58</v>
      </c>
      <c r="H100" s="44">
        <f>ROUND(A100*746*10000/(Q100*V100*1.732*460),0)</f>
        <v>176</v>
      </c>
      <c r="I100" s="53">
        <f>ROUND(A100*0.75*746*10000/(S100*W100*1.732*460),0)</f>
        <v>137</v>
      </c>
      <c r="J100" s="53"/>
      <c r="K100" s="53"/>
      <c r="L100" s="44">
        <v>1085</v>
      </c>
      <c r="M100" s="44">
        <f>ROUND(A100*5250/F100,0)</f>
        <v>441</v>
      </c>
      <c r="N100" s="53">
        <f>ROUND(A100*5250*0.75/(B100-((B100-F100)*0.75)),0)</f>
        <v>330</v>
      </c>
      <c r="O100" s="44">
        <v>220</v>
      </c>
      <c r="P100" s="44">
        <v>260</v>
      </c>
      <c r="Q100" s="47">
        <v>95.7</v>
      </c>
      <c r="R100" s="47">
        <f>A100*746/(A100*746+(AD100*1.1))*100</f>
        <v>95.29025191675795</v>
      </c>
      <c r="S100" s="47">
        <v>95.5</v>
      </c>
      <c r="T100" s="47">
        <f>ROUND(A100*0.75*746/(A100*0.75*746+(AE100*1.1))*100,1)</f>
        <v>95.1</v>
      </c>
      <c r="U100" s="47">
        <v>94.8</v>
      </c>
      <c r="V100" s="47">
        <v>83.6</v>
      </c>
      <c r="W100" s="47">
        <v>80.7</v>
      </c>
      <c r="X100" s="47">
        <v>72.9</v>
      </c>
      <c r="Y100" s="44">
        <v>14</v>
      </c>
      <c r="Z100" s="44">
        <v>8</v>
      </c>
      <c r="AA100" s="44">
        <f>H100*13</f>
        <v>2288</v>
      </c>
      <c r="AB100" s="46">
        <v>46.2</v>
      </c>
      <c r="AC100" s="44">
        <v>84</v>
      </c>
      <c r="AD100" s="43">
        <f>(A100*746-(Q100/100*(A100*746)))/(Q100/100)</f>
        <v>5027.899686520373</v>
      </c>
      <c r="AE100" s="43">
        <f>(A100*746*0.75-(S100/100*(A100*0.75*746)))/(S100/100)</f>
        <v>3954.581151832461</v>
      </c>
      <c r="AF100" s="43">
        <f>AG100+1</f>
        <v>6</v>
      </c>
      <c r="AG100" s="43">
        <v>5</v>
      </c>
      <c r="AH100" s="43">
        <v>160</v>
      </c>
      <c r="AI100" s="43">
        <v>1570</v>
      </c>
      <c r="AJ100" s="44">
        <f>AI100*$BD$1</f>
        <v>2041</v>
      </c>
      <c r="AK100" s="43">
        <v>640</v>
      </c>
      <c r="AL100" s="47">
        <f>$BD$1*38.5</f>
        <v>50.050000000000004</v>
      </c>
      <c r="AM100" s="43">
        <v>1883</v>
      </c>
      <c r="AN100" s="43" t="s">
        <v>108</v>
      </c>
      <c r="AO100" s="43">
        <v>69</v>
      </c>
      <c r="AP100" s="44">
        <v>83</v>
      </c>
      <c r="AQ100" s="43" t="s">
        <v>125</v>
      </c>
      <c r="AR100" s="1">
        <v>60</v>
      </c>
      <c r="AS100" s="1">
        <v>60</v>
      </c>
      <c r="AY100" s="43"/>
      <c r="BC100" s="49"/>
    </row>
    <row r="101" spans="1:55" ht="14.25">
      <c r="A101" s="44">
        <v>150</v>
      </c>
      <c r="B101" s="44">
        <v>3600</v>
      </c>
      <c r="C101" s="45" t="s">
        <v>143</v>
      </c>
      <c r="D101" s="45" t="s">
        <v>143</v>
      </c>
      <c r="E101" s="43" t="s">
        <v>158</v>
      </c>
      <c r="F101" s="43">
        <v>3577</v>
      </c>
      <c r="G101" s="47">
        <v>47</v>
      </c>
      <c r="H101" s="44">
        <f>ROUND(A101*746*10000/(Q101*V101*1.732*460),0)</f>
        <v>167</v>
      </c>
      <c r="I101" s="53">
        <f>ROUND(A101*0.75*746*10000/(S101*W101*1.732*460),0)</f>
        <v>126</v>
      </c>
      <c r="J101" s="53"/>
      <c r="K101" s="53"/>
      <c r="L101" s="44">
        <v>1187.5</v>
      </c>
      <c r="M101" s="44">
        <f>ROUND(A101*5250/F101,0)</f>
        <v>220</v>
      </c>
      <c r="N101" s="53">
        <f>ROUND(A101*5250*0.75/(B101-((B101-F101)*0.75)),0)</f>
        <v>165</v>
      </c>
      <c r="O101" s="44">
        <v>210</v>
      </c>
      <c r="P101" s="44">
        <v>260</v>
      </c>
      <c r="Q101" s="47">
        <v>95.7</v>
      </c>
      <c r="R101" s="47">
        <f>A101*746/(A101*746+(AD101*1.1))*100</f>
        <v>95.29025191675795</v>
      </c>
      <c r="S101" s="47">
        <v>95.7</v>
      </c>
      <c r="T101" s="47">
        <f>ROUND(A101*0.75*746/(A101*0.75*746+(AE101*1.1))*100,1)</f>
        <v>95.3</v>
      </c>
      <c r="U101" s="47">
        <v>95.2</v>
      </c>
      <c r="V101" s="47">
        <v>88.1</v>
      </c>
      <c r="W101" s="47">
        <v>87.4</v>
      </c>
      <c r="X101" s="47">
        <v>84</v>
      </c>
      <c r="Y101" s="44">
        <v>16</v>
      </c>
      <c r="Z101" s="44">
        <v>9</v>
      </c>
      <c r="AA101" s="44">
        <f>H101*13</f>
        <v>2171</v>
      </c>
      <c r="AB101" s="46">
        <v>37.4</v>
      </c>
      <c r="AC101" s="44">
        <v>85</v>
      </c>
      <c r="AD101" s="43">
        <f>(A101*746-(Q101/100*(A101*746)))/(Q101/100)</f>
        <v>5027.899686520373</v>
      </c>
      <c r="AE101" s="43">
        <f>(A101*746*0.75-(S101/100*(A101*0.75*746)))/(S101/100)</f>
        <v>3770.9247648902756</v>
      </c>
      <c r="AF101" s="43">
        <f>AG101+1</f>
        <v>3</v>
      </c>
      <c r="AG101" s="43">
        <v>2</v>
      </c>
      <c r="AH101" s="43">
        <v>320</v>
      </c>
      <c r="AI101" s="43">
        <v>487</v>
      </c>
      <c r="AJ101" s="44">
        <f>AI101*$BD$1</f>
        <v>633.1</v>
      </c>
      <c r="AK101" s="43">
        <v>133</v>
      </c>
      <c r="AL101" s="47">
        <f>$BD$1*33.2</f>
        <v>43.160000000000004</v>
      </c>
      <c r="AM101" s="43">
        <v>2065</v>
      </c>
      <c r="AN101" s="43" t="s">
        <v>108</v>
      </c>
      <c r="AO101" s="43">
        <v>57</v>
      </c>
      <c r="AP101" s="44">
        <v>71</v>
      </c>
      <c r="AQ101" s="43" t="s">
        <v>125</v>
      </c>
      <c r="AR101" s="1">
        <v>40</v>
      </c>
      <c r="AS101" s="1">
        <v>85</v>
      </c>
      <c r="AY101" s="43"/>
      <c r="BC101" s="49"/>
    </row>
    <row r="102" spans="1:55" ht="14.25">
      <c r="A102" s="43"/>
      <c r="B102" s="43"/>
      <c r="C102" s="51"/>
      <c r="D102" s="51"/>
      <c r="E102" s="43"/>
      <c r="F102" s="43"/>
      <c r="G102" s="47"/>
      <c r="H102" s="44"/>
      <c r="I102" s="47"/>
      <c r="J102" s="47"/>
      <c r="K102" s="47"/>
      <c r="L102" s="44"/>
      <c r="M102" s="44"/>
      <c r="N102" s="44"/>
      <c r="O102" s="43"/>
      <c r="P102" s="43"/>
      <c r="Q102" s="43"/>
      <c r="R102" s="47"/>
      <c r="S102" s="43"/>
      <c r="T102" s="47"/>
      <c r="U102" s="43"/>
      <c r="V102" s="43"/>
      <c r="W102" s="43"/>
      <c r="X102" s="43"/>
      <c r="Y102" s="43"/>
      <c r="Z102" s="43"/>
      <c r="AA102" s="43"/>
      <c r="AB102" s="46"/>
      <c r="AC102" s="43"/>
      <c r="AD102" s="43"/>
      <c r="AE102" s="43"/>
      <c r="AF102" s="43"/>
      <c r="AG102" s="43"/>
      <c r="AH102" s="43"/>
      <c r="AI102" s="43"/>
      <c r="AJ102" s="44"/>
      <c r="AK102" s="43"/>
      <c r="AL102" s="47"/>
      <c r="AM102" s="43"/>
      <c r="AN102" s="43"/>
      <c r="AO102" s="43"/>
      <c r="AP102" s="43"/>
      <c r="AQ102" s="43"/>
      <c r="AY102" s="43"/>
      <c r="BC102" s="49"/>
    </row>
    <row r="103" spans="1:55" ht="14.25">
      <c r="A103" s="44">
        <v>200</v>
      </c>
      <c r="B103" s="44">
        <v>900</v>
      </c>
      <c r="C103" s="45" t="s">
        <v>159</v>
      </c>
      <c r="D103" s="45" t="s">
        <v>160</v>
      </c>
      <c r="E103" s="43" t="s">
        <v>161</v>
      </c>
      <c r="F103" s="43">
        <v>888</v>
      </c>
      <c r="G103" s="47">
        <v>75</v>
      </c>
      <c r="H103" s="44">
        <f>ROUND(A103*746*10000/(Q103*V103*1.732*460),0)</f>
        <v>241</v>
      </c>
      <c r="I103" s="53">
        <f>ROUND(A103*0.75*746*10000/(S103*W103*1.732*460),0)</f>
        <v>184</v>
      </c>
      <c r="J103" s="53"/>
      <c r="K103" s="53"/>
      <c r="L103" s="44">
        <v>1650</v>
      </c>
      <c r="M103" s="44">
        <f>ROUND(A103*5250/F103,0)</f>
        <v>1182</v>
      </c>
      <c r="N103" s="53">
        <f>ROUND(A103*5250*0.75/(B103-((B103-F103)*0.75)),0)</f>
        <v>884</v>
      </c>
      <c r="O103" s="43">
        <v>173</v>
      </c>
      <c r="P103" s="43">
        <v>218</v>
      </c>
      <c r="Q103" s="43">
        <v>93</v>
      </c>
      <c r="R103" s="47">
        <f>A103*746/(A103*746+(AD103*1.1))*100</f>
        <v>92.35352532274081</v>
      </c>
      <c r="S103" s="43">
        <v>94.5</v>
      </c>
      <c r="T103" s="47">
        <f>ROUND(A103*0.75*746/(A103*0.75*746+(AE103*1.2))*100,1)</f>
        <v>93.5</v>
      </c>
      <c r="U103" s="43">
        <v>94.2</v>
      </c>
      <c r="V103" s="43">
        <v>83.5</v>
      </c>
      <c r="W103" s="47">
        <v>80.6</v>
      </c>
      <c r="X103" s="47">
        <v>73.7</v>
      </c>
      <c r="Y103" s="44">
        <v>29</v>
      </c>
      <c r="Z103" s="44">
        <v>10</v>
      </c>
      <c r="AA103" s="44">
        <f>H103*13</f>
        <v>3133</v>
      </c>
      <c r="AB103" s="46"/>
      <c r="AC103" s="44">
        <v>72</v>
      </c>
      <c r="AD103" s="43">
        <f>(A103*746-(Q103/100*(A103*746)))/(Q103/100)</f>
        <v>11230.10752688172</v>
      </c>
      <c r="AE103" s="43">
        <f>(A103*746*0.75-(S103/100*(A103*0.75*746)))/(S103/100)</f>
        <v>6512.698412698413</v>
      </c>
      <c r="AF103" s="43"/>
      <c r="AG103" s="43"/>
      <c r="AH103" s="43"/>
      <c r="AI103" s="43">
        <v>13800</v>
      </c>
      <c r="AJ103" s="44">
        <f>1+AI103*1</f>
        <v>13801</v>
      </c>
      <c r="AK103" s="43">
        <v>4508</v>
      </c>
      <c r="AL103" s="47">
        <v>343</v>
      </c>
      <c r="AM103" s="43">
        <v>4273</v>
      </c>
      <c r="AN103" s="43" t="s">
        <v>108</v>
      </c>
      <c r="AO103" s="43">
        <v>78</v>
      </c>
      <c r="AP103" s="43">
        <v>104</v>
      </c>
      <c r="AQ103" s="43" t="s">
        <v>125</v>
      </c>
      <c r="AR103" s="1" t="s">
        <v>110</v>
      </c>
      <c r="AS103" s="1" t="s">
        <v>110</v>
      </c>
      <c r="AY103" s="43"/>
      <c r="BC103" s="49"/>
    </row>
    <row r="104" spans="1:55" ht="14.25">
      <c r="A104" s="44">
        <v>200</v>
      </c>
      <c r="B104" s="44">
        <v>1200</v>
      </c>
      <c r="C104" s="45" t="s">
        <v>162</v>
      </c>
      <c r="D104" s="45">
        <v>6318</v>
      </c>
      <c r="E104" s="43" t="s">
        <v>155</v>
      </c>
      <c r="F104" s="43">
        <v>1188</v>
      </c>
      <c r="G104" s="47">
        <v>87.5</v>
      </c>
      <c r="H104" s="44">
        <f>ROUND(A104*746*10000/(Q104*V104*1.732*460),0)</f>
        <v>232</v>
      </c>
      <c r="I104" s="53">
        <f>ROUND(A104*0.75*746*10000/(S104*W104*1.732*460),0)</f>
        <v>178</v>
      </c>
      <c r="J104" s="53"/>
      <c r="K104" s="53"/>
      <c r="L104" s="44">
        <v>1610</v>
      </c>
      <c r="M104" s="44">
        <f>ROUND(A104*5250/F104,0)</f>
        <v>884</v>
      </c>
      <c r="N104" s="53">
        <f>ROUND(A104*5250*0.75/(B104-((B104-F104)*0.75)),0)</f>
        <v>661</v>
      </c>
      <c r="O104" s="43">
        <v>200</v>
      </c>
      <c r="P104" s="43">
        <v>210</v>
      </c>
      <c r="Q104" s="43">
        <v>95.8</v>
      </c>
      <c r="R104" s="47">
        <f>A104*746/(A104*746+(AD104*1.1))*100</f>
        <v>95.39932284405498</v>
      </c>
      <c r="S104" s="43">
        <v>96.1</v>
      </c>
      <c r="T104" s="47">
        <f>ROUND(A104*0.75*746/(A104*0.75*746+(AE104*1.1))*100,1)</f>
        <v>95.7</v>
      </c>
      <c r="U104" s="47">
        <v>96</v>
      </c>
      <c r="V104" s="47">
        <v>84.2</v>
      </c>
      <c r="W104" s="47">
        <v>82.1</v>
      </c>
      <c r="X104" s="47">
        <v>75.4</v>
      </c>
      <c r="Y104" s="44">
        <v>14</v>
      </c>
      <c r="Z104" s="44">
        <v>7</v>
      </c>
      <c r="AA104" s="44">
        <f>H104*13</f>
        <v>3016</v>
      </c>
      <c r="AB104" s="46">
        <v>55.8</v>
      </c>
      <c r="AC104" s="44">
        <v>81</v>
      </c>
      <c r="AD104" s="43">
        <f>(A104*746-(Q104/100*(A104*746)))/(Q104/100)</f>
        <v>6541.127348643</v>
      </c>
      <c r="AE104" s="43">
        <f>(A104*746*0.75-(S104/100*(A104*0.75*746)))/(S104/100)</f>
        <v>4541.207075962545</v>
      </c>
      <c r="AF104" s="43">
        <f>AG104+1</f>
        <v>6</v>
      </c>
      <c r="AG104" s="43">
        <v>5</v>
      </c>
      <c r="AH104" s="43">
        <v>265</v>
      </c>
      <c r="AI104" s="43">
        <v>5000</v>
      </c>
      <c r="AJ104" s="44">
        <f>AI104*$BD$1</f>
        <v>6500</v>
      </c>
      <c r="AK104" s="43">
        <v>2238</v>
      </c>
      <c r="AL104" s="47">
        <f>$BD$1*113</f>
        <v>146.9</v>
      </c>
      <c r="AM104" s="43">
        <v>3590</v>
      </c>
      <c r="AN104" s="43" t="s">
        <v>108</v>
      </c>
      <c r="AO104" s="43">
        <v>69</v>
      </c>
      <c r="AP104" s="43">
        <v>98</v>
      </c>
      <c r="AQ104" s="43" t="s">
        <v>125</v>
      </c>
      <c r="AR104" s="1" t="s">
        <v>110</v>
      </c>
      <c r="AS104" s="1" t="s">
        <v>110</v>
      </c>
      <c r="AY104" s="43"/>
      <c r="BC104" s="49"/>
    </row>
    <row r="105" spans="1:55" ht="14.25">
      <c r="A105" s="44">
        <v>200</v>
      </c>
      <c r="B105" s="44">
        <v>1200</v>
      </c>
      <c r="C105" s="45"/>
      <c r="D105" s="45"/>
      <c r="E105" s="43" t="s">
        <v>163</v>
      </c>
      <c r="F105" s="43">
        <v>1185</v>
      </c>
      <c r="G105" s="47"/>
      <c r="H105" s="44">
        <v>239</v>
      </c>
      <c r="I105" s="53"/>
      <c r="J105" s="53"/>
      <c r="K105" s="53"/>
      <c r="L105" s="44">
        <v>1450</v>
      </c>
      <c r="M105" s="44"/>
      <c r="N105" s="53"/>
      <c r="O105" s="43">
        <v>199</v>
      </c>
      <c r="P105" s="43">
        <v>222</v>
      </c>
      <c r="Q105" s="43">
        <v>95.4</v>
      </c>
      <c r="R105" s="47"/>
      <c r="S105" s="43"/>
      <c r="T105" s="47"/>
      <c r="U105" s="47"/>
      <c r="V105" s="47">
        <v>83</v>
      </c>
      <c r="W105" s="47"/>
      <c r="X105" s="47"/>
      <c r="Y105" s="44"/>
      <c r="Z105" s="44"/>
      <c r="AA105" s="44"/>
      <c r="AB105" s="46"/>
      <c r="AC105" s="44"/>
      <c r="AD105" s="43"/>
      <c r="AE105" s="43"/>
      <c r="AF105" s="43"/>
      <c r="AG105" s="43"/>
      <c r="AH105" s="43"/>
      <c r="AI105" s="43"/>
      <c r="AJ105" s="44"/>
      <c r="AK105" s="43"/>
      <c r="AL105" s="47"/>
      <c r="AM105" s="43"/>
      <c r="AN105" s="43"/>
      <c r="AO105" s="43">
        <v>70</v>
      </c>
      <c r="AP105" s="43"/>
      <c r="AQ105" s="43" t="s">
        <v>125</v>
      </c>
      <c r="AR105" s="1" t="s">
        <v>110</v>
      </c>
      <c r="AS105" s="1" t="s">
        <v>110</v>
      </c>
      <c r="AY105" s="43"/>
      <c r="BC105" s="49"/>
    </row>
    <row r="106" spans="1:55" ht="14.25">
      <c r="A106" s="44">
        <v>200</v>
      </c>
      <c r="B106" s="44">
        <v>1800</v>
      </c>
      <c r="C106" s="45" t="s">
        <v>148</v>
      </c>
      <c r="D106" s="45" t="s">
        <v>149</v>
      </c>
      <c r="E106" s="43" t="s">
        <v>157</v>
      </c>
      <c r="F106" s="43">
        <v>1784</v>
      </c>
      <c r="G106" s="47">
        <v>70</v>
      </c>
      <c r="H106" s="44">
        <f>ROUND(A106*746*10000/(Q106*V106*1.732*460),0)</f>
        <v>231</v>
      </c>
      <c r="I106" s="53">
        <f>ROUND(A106*0.75*746*10000/(S106*W106*1.732*460),0)</f>
        <v>178</v>
      </c>
      <c r="J106" s="53"/>
      <c r="K106" s="53"/>
      <c r="L106" s="44">
        <v>1450</v>
      </c>
      <c r="M106" s="44">
        <f>ROUND(A106*5250/F106,0)</f>
        <v>589</v>
      </c>
      <c r="N106" s="53">
        <f>ROUND(A106*5250*0.75/(B106-((B106-F106)*0.75)),0)</f>
        <v>440</v>
      </c>
      <c r="O106" s="43">
        <v>240</v>
      </c>
      <c r="P106" s="43">
        <v>260</v>
      </c>
      <c r="Q106" s="43">
        <v>96.1</v>
      </c>
      <c r="R106" s="47">
        <f>A106*746/(A106*746+(AD106*1.1))*100</f>
        <v>95.7266660025899</v>
      </c>
      <c r="S106" s="43">
        <v>96.1</v>
      </c>
      <c r="T106" s="47">
        <f>ROUND(A106*0.75*746/(A106*0.75*746+(AE106*1.1))*100,1)</f>
        <v>95.7</v>
      </c>
      <c r="U106" s="43">
        <v>95.7</v>
      </c>
      <c r="V106" s="43">
        <v>84.5</v>
      </c>
      <c r="W106" s="47">
        <v>81.9</v>
      </c>
      <c r="X106" s="47">
        <v>74.6</v>
      </c>
      <c r="Y106" s="44">
        <v>13</v>
      </c>
      <c r="Z106" s="44">
        <v>7</v>
      </c>
      <c r="AA106" s="44">
        <f>H106*13</f>
        <v>3003</v>
      </c>
      <c r="AB106" s="46">
        <v>55.8</v>
      </c>
      <c r="AC106" s="44">
        <v>84</v>
      </c>
      <c r="AD106" s="43">
        <f>(A106*746-(Q106/100*(A106*746)))/(Q106/100)</f>
        <v>6054.94276795007</v>
      </c>
      <c r="AE106" s="43">
        <f>(A106*746*0.75-(S106/100*(A106*0.75*746)))/(S106/100)</f>
        <v>4541.207075962545</v>
      </c>
      <c r="AF106" s="43">
        <f>AG106+1</f>
        <v>5</v>
      </c>
      <c r="AG106" s="43">
        <v>4</v>
      </c>
      <c r="AH106" s="43">
        <v>300</v>
      </c>
      <c r="AI106" s="43">
        <v>2060</v>
      </c>
      <c r="AJ106" s="44">
        <f>AI106*$BD$1</f>
        <v>2678</v>
      </c>
      <c r="AK106" s="43">
        <v>831</v>
      </c>
      <c r="AL106" s="47">
        <f>$BD$1*51.1</f>
        <v>66.43</v>
      </c>
      <c r="AM106" s="43">
        <v>2328</v>
      </c>
      <c r="AN106" s="43" t="s">
        <v>108</v>
      </c>
      <c r="AO106" s="43">
        <v>78</v>
      </c>
      <c r="AP106" s="43">
        <v>105</v>
      </c>
      <c r="AQ106" s="43" t="s">
        <v>125</v>
      </c>
      <c r="AR106" s="1">
        <v>60</v>
      </c>
      <c r="AS106" s="1">
        <v>60</v>
      </c>
      <c r="AY106" s="43"/>
      <c r="BC106" s="49"/>
    </row>
    <row r="107" spans="1:55" ht="14.25">
      <c r="A107" s="44">
        <v>200</v>
      </c>
      <c r="B107" s="44">
        <v>3600</v>
      </c>
      <c r="C107" s="45" t="s">
        <v>143</v>
      </c>
      <c r="D107" s="45" t="s">
        <v>143</v>
      </c>
      <c r="E107" s="43" t="s">
        <v>164</v>
      </c>
      <c r="F107" s="43">
        <v>3576</v>
      </c>
      <c r="G107" s="47">
        <v>58</v>
      </c>
      <c r="H107" s="44">
        <f>ROUND(A107*746*10000/(Q107*V107*1.732*460),0)</f>
        <v>222</v>
      </c>
      <c r="I107" s="53">
        <f>ROUND(A107*0.75*746*10000/(S107*W107*1.732*460),0)</f>
        <v>170</v>
      </c>
      <c r="J107" s="53"/>
      <c r="K107" s="53"/>
      <c r="L107" s="44">
        <v>1450</v>
      </c>
      <c r="M107" s="44">
        <f>ROUND(A107*5250/F107,0)</f>
        <v>294</v>
      </c>
      <c r="N107" s="53">
        <f>ROUND(A107*5250*0.75/(B107-((B107-F107)*0.75)),0)</f>
        <v>220</v>
      </c>
      <c r="O107" s="43">
        <v>230</v>
      </c>
      <c r="P107" s="43">
        <v>260</v>
      </c>
      <c r="Q107" s="43">
        <v>96</v>
      </c>
      <c r="R107" s="47">
        <f>A107*746/(A107*746+(AD107*1.1))*100</f>
        <v>95.61752988047807</v>
      </c>
      <c r="S107" s="43">
        <v>95.9</v>
      </c>
      <c r="T107" s="47">
        <f>ROUND(A107*0.75*746/(A107*0.75*746+(AE107*1.1))*100,1)</f>
        <v>95.5</v>
      </c>
      <c r="U107" s="43">
        <v>95.3</v>
      </c>
      <c r="V107" s="47">
        <v>88</v>
      </c>
      <c r="W107" s="47">
        <v>86</v>
      </c>
      <c r="X107" s="47">
        <v>79.8</v>
      </c>
      <c r="Y107" s="44">
        <v>13</v>
      </c>
      <c r="Z107" s="44">
        <v>7</v>
      </c>
      <c r="AA107" s="44">
        <f>H107*13</f>
        <v>2886</v>
      </c>
      <c r="AB107" s="46">
        <v>46.2</v>
      </c>
      <c r="AC107" s="44">
        <v>85</v>
      </c>
      <c r="AD107" s="43">
        <f>(A107*746-(Q107/100*(A107*746)))/(Q107/100)</f>
        <v>6216.666666666667</v>
      </c>
      <c r="AE107" s="43">
        <f>(A107*746*0.75-(S107/100*(A107*0.75*746)))/(S107/100)</f>
        <v>4784.045881126167</v>
      </c>
      <c r="AF107" s="43">
        <f>AG107+1</f>
        <v>3</v>
      </c>
      <c r="AG107" s="43">
        <v>2</v>
      </c>
      <c r="AH107" s="43">
        <v>600</v>
      </c>
      <c r="AI107" s="43">
        <v>561</v>
      </c>
      <c r="AJ107" s="44">
        <f>AI107*$BD$1</f>
        <v>729.3000000000001</v>
      </c>
      <c r="AK107" s="43">
        <v>172</v>
      </c>
      <c r="AL107" s="47">
        <f>$BD$1*41.5</f>
        <v>53.95</v>
      </c>
      <c r="AM107" s="43">
        <v>2311</v>
      </c>
      <c r="AN107" s="43" t="s">
        <v>108</v>
      </c>
      <c r="AO107" s="43">
        <v>66</v>
      </c>
      <c r="AP107" s="43">
        <v>83</v>
      </c>
      <c r="AQ107" s="43" t="s">
        <v>125</v>
      </c>
      <c r="AR107" s="1">
        <v>50</v>
      </c>
      <c r="AS107" s="1">
        <v>75</v>
      </c>
      <c r="AY107" s="43"/>
      <c r="BC107" s="49"/>
    </row>
    <row r="108" spans="1:55" ht="14.25">
      <c r="A108" s="43"/>
      <c r="B108" s="43"/>
      <c r="C108" s="51"/>
      <c r="D108" s="51"/>
      <c r="E108" s="43"/>
      <c r="F108" s="43"/>
      <c r="G108" s="43"/>
      <c r="H108" s="44"/>
      <c r="I108" s="43"/>
      <c r="J108" s="43"/>
      <c r="K108" s="43"/>
      <c r="L108" s="44"/>
      <c r="M108" s="44"/>
      <c r="N108" s="44"/>
      <c r="O108" s="43"/>
      <c r="P108" s="43"/>
      <c r="Q108" s="43"/>
      <c r="R108" s="43"/>
      <c r="S108" s="43"/>
      <c r="T108" s="43"/>
      <c r="U108" s="43"/>
      <c r="V108" s="43"/>
      <c r="W108" s="47"/>
      <c r="X108" s="47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43"/>
      <c r="AL108" s="47"/>
      <c r="AM108" s="43"/>
      <c r="AN108" s="43"/>
      <c r="AO108" s="43"/>
      <c r="AP108" s="43"/>
      <c r="AQ108" s="43"/>
      <c r="AY108" s="43"/>
      <c r="BC108" s="49"/>
    </row>
    <row r="109" spans="1:55" ht="14.25">
      <c r="A109" s="44">
        <v>250</v>
      </c>
      <c r="B109" s="44">
        <v>900</v>
      </c>
      <c r="C109" s="45" t="s">
        <v>159</v>
      </c>
      <c r="D109" s="45" t="s">
        <v>160</v>
      </c>
      <c r="E109" s="43" t="s">
        <v>161</v>
      </c>
      <c r="F109" s="43">
        <v>887</v>
      </c>
      <c r="G109" s="43">
        <v>101</v>
      </c>
      <c r="H109" s="44">
        <f>ROUND(A109*746*10000/(Q109*V109*1.732*460),0)</f>
        <v>293</v>
      </c>
      <c r="I109" s="53">
        <f>ROUND(A109*0.75*746*10000/(S109*W109*1.732*460),0)</f>
        <v>226</v>
      </c>
      <c r="J109" s="53"/>
      <c r="K109" s="53"/>
      <c r="L109" s="44">
        <v>2100</v>
      </c>
      <c r="M109" s="44">
        <f>ROUND(A109*5250/F109,0)</f>
        <v>1480</v>
      </c>
      <c r="N109" s="53">
        <f>ROUND(A109*5250*0.75/(B109-((B109-F109)*0.75)),0)</f>
        <v>1106</v>
      </c>
      <c r="O109" s="43">
        <v>240</v>
      </c>
      <c r="P109" s="43">
        <v>285</v>
      </c>
      <c r="Q109" s="43">
        <v>93.6</v>
      </c>
      <c r="R109" s="47">
        <f>A109*746/(A109*746+(AD109*1.1))*100</f>
        <v>93.0047694753577</v>
      </c>
      <c r="S109" s="43">
        <v>94</v>
      </c>
      <c r="T109" s="47">
        <f>ROUND(A109*0.75*746/(A109*0.75*746+(AE109*1.2))*100,1)</f>
        <v>92.9</v>
      </c>
      <c r="U109" s="43">
        <v>93.7</v>
      </c>
      <c r="V109" s="43">
        <v>85.4</v>
      </c>
      <c r="W109" s="47">
        <v>82.7</v>
      </c>
      <c r="X109" s="47">
        <v>74.8</v>
      </c>
      <c r="Y109" s="44">
        <v>29</v>
      </c>
      <c r="Z109" s="44">
        <v>10</v>
      </c>
      <c r="AA109" s="44">
        <f aca="true" t="shared" si="0" ref="AA109:AA121">H109*13</f>
        <v>3809</v>
      </c>
      <c r="AB109" s="44"/>
      <c r="AC109" s="44"/>
      <c r="AD109" s="43">
        <f aca="true" t="shared" si="1" ref="AD109:AD121">(A109*746-(Q109/100*(A109*746)))/(Q109/100)</f>
        <v>12752.136752136754</v>
      </c>
      <c r="AE109" s="43">
        <f>(A109*746*0.75-(S109/100*(A109*0.75*746)))/(S109/100)</f>
        <v>8928.191489361703</v>
      </c>
      <c r="AF109" s="43"/>
      <c r="AG109" s="43"/>
      <c r="AH109" s="43"/>
      <c r="AI109" s="43">
        <v>14400</v>
      </c>
      <c r="AJ109" s="44">
        <f>AI109*1</f>
        <v>14400</v>
      </c>
      <c r="AK109" s="43">
        <v>5540</v>
      </c>
      <c r="AL109" s="47" t="s">
        <v>107</v>
      </c>
      <c r="AM109" s="43">
        <v>5511</v>
      </c>
      <c r="AN109" s="43" t="s">
        <v>108</v>
      </c>
      <c r="AO109" s="43">
        <v>77</v>
      </c>
      <c r="AP109" s="43">
        <v>105</v>
      </c>
      <c r="AQ109" s="43" t="s">
        <v>125</v>
      </c>
      <c r="AR109" s="1" t="s">
        <v>110</v>
      </c>
      <c r="AS109" s="1" t="s">
        <v>110</v>
      </c>
      <c r="AY109" s="43"/>
      <c r="BC109" s="49"/>
    </row>
    <row r="110" spans="1:55" ht="14.25">
      <c r="A110" s="44">
        <v>250</v>
      </c>
      <c r="B110" s="44">
        <v>1200</v>
      </c>
      <c r="C110" s="45" t="s">
        <v>159</v>
      </c>
      <c r="D110" s="45" t="s">
        <v>160</v>
      </c>
      <c r="E110" s="43" t="s">
        <v>165</v>
      </c>
      <c r="F110" s="43">
        <v>1188</v>
      </c>
      <c r="G110" s="43">
        <v>109</v>
      </c>
      <c r="H110" s="44">
        <f>ROUND(A110*746*10000/(Q110*V110*1.732*460),0)</f>
        <v>301</v>
      </c>
      <c r="I110" s="53">
        <f>ROUND(A110*0.75*746*10000/(S110*W110*1.732*460),0)</f>
        <v>236</v>
      </c>
      <c r="J110" s="53"/>
      <c r="K110" s="53"/>
      <c r="L110" s="44">
        <v>1825</v>
      </c>
      <c r="M110" s="44">
        <f>ROUND(A110*5250/F110,0)</f>
        <v>1105</v>
      </c>
      <c r="N110" s="53">
        <f>ROUND(A110*5250*0.75/(B110-((B110-F110)*0.75)),0)</f>
        <v>827</v>
      </c>
      <c r="O110" s="43">
        <v>170</v>
      </c>
      <c r="P110" s="43">
        <v>220</v>
      </c>
      <c r="Q110" s="43">
        <v>95.8</v>
      </c>
      <c r="R110" s="47">
        <f>A110*746/(A110*746+(AD110*1.1))*100</f>
        <v>95.39932284405496</v>
      </c>
      <c r="S110" s="43">
        <v>95.8</v>
      </c>
      <c r="T110" s="47">
        <f>ROUND(A110*0.75*746/(A110*0.75*746+(AE110*1.1))*100,1)</f>
        <v>95.4</v>
      </c>
      <c r="U110" s="43">
        <v>95.7</v>
      </c>
      <c r="V110" s="43">
        <v>81.2</v>
      </c>
      <c r="W110" s="47">
        <v>77.5</v>
      </c>
      <c r="X110" s="47">
        <v>69</v>
      </c>
      <c r="Y110" s="44">
        <v>22</v>
      </c>
      <c r="Z110" s="44">
        <v>12</v>
      </c>
      <c r="AA110" s="44">
        <f t="shared" si="0"/>
        <v>3913</v>
      </c>
      <c r="AB110" s="44"/>
      <c r="AC110" s="44"/>
      <c r="AD110" s="43">
        <f t="shared" si="1"/>
        <v>8176.409185803758</v>
      </c>
      <c r="AE110" s="43">
        <f>(A110*746*0.75-(S110/100*(A110*0.75*746)))/(S110/100)</f>
        <v>6132.306889352819</v>
      </c>
      <c r="AF110" s="43">
        <f>AG110+1</f>
        <v>5</v>
      </c>
      <c r="AG110" s="43">
        <v>4</v>
      </c>
      <c r="AH110" s="43">
        <v>440</v>
      </c>
      <c r="AI110" s="43">
        <v>7950</v>
      </c>
      <c r="AJ110" s="44">
        <f>AI110*$BD$1</f>
        <v>10335</v>
      </c>
      <c r="AK110" s="43">
        <v>2744</v>
      </c>
      <c r="AL110" s="47">
        <v>256</v>
      </c>
      <c r="AM110" s="43">
        <v>4056</v>
      </c>
      <c r="AN110" s="43" t="s">
        <v>108</v>
      </c>
      <c r="AO110" s="43">
        <v>67</v>
      </c>
      <c r="AP110" s="43">
        <v>85</v>
      </c>
      <c r="AQ110" s="43" t="s">
        <v>125</v>
      </c>
      <c r="AR110" s="1" t="s">
        <v>110</v>
      </c>
      <c r="AS110" s="1" t="s">
        <v>110</v>
      </c>
      <c r="AY110" s="43"/>
      <c r="BC110" s="49"/>
    </row>
    <row r="111" spans="1:55" ht="14.25">
      <c r="A111" s="44">
        <v>250</v>
      </c>
      <c r="B111" s="44">
        <v>1800</v>
      </c>
      <c r="C111" s="45" t="s">
        <v>162</v>
      </c>
      <c r="D111" s="45">
        <v>6318</v>
      </c>
      <c r="E111" s="43" t="s">
        <v>155</v>
      </c>
      <c r="F111" s="43">
        <v>1788</v>
      </c>
      <c r="G111" s="43">
        <v>89</v>
      </c>
      <c r="H111" s="44">
        <f>ROUND(A111*746*10000/(Q111*V111*1.732*460),0)</f>
        <v>286</v>
      </c>
      <c r="I111" s="53">
        <f>ROUND(A111*0.75*746*10000/(S111*W111*1.732*460),0)</f>
        <v>222</v>
      </c>
      <c r="J111" s="53"/>
      <c r="K111" s="53"/>
      <c r="L111" s="44">
        <v>1800</v>
      </c>
      <c r="M111" s="44">
        <f>ROUND(A111*5250/F111,0)</f>
        <v>734</v>
      </c>
      <c r="N111" s="53">
        <f>ROUND(A111*5250*0.75/(B111-((B111-F111)*0.75)),0)</f>
        <v>550</v>
      </c>
      <c r="O111" s="43">
        <v>230</v>
      </c>
      <c r="P111" s="43">
        <v>240</v>
      </c>
      <c r="Q111" s="43">
        <v>96.2</v>
      </c>
      <c r="R111" s="47">
        <f>A111*746/(A111*746+(AD111*1.1))*100</f>
        <v>95.83582386929666</v>
      </c>
      <c r="S111" s="43">
        <v>95.9</v>
      </c>
      <c r="T111" s="47">
        <f>ROUND(A111*0.75*746/(A111*0.75*746+(AE111*1.1))*100,1)</f>
        <v>95.5</v>
      </c>
      <c r="U111" s="43">
        <v>95</v>
      </c>
      <c r="V111" s="43">
        <v>85.1</v>
      </c>
      <c r="W111" s="47">
        <v>82.3</v>
      </c>
      <c r="X111" s="47">
        <v>75.3</v>
      </c>
      <c r="Y111" s="44">
        <v>14</v>
      </c>
      <c r="Z111" s="44">
        <v>7</v>
      </c>
      <c r="AA111" s="44">
        <f t="shared" si="0"/>
        <v>3718</v>
      </c>
      <c r="AB111" s="44"/>
      <c r="AC111" s="44"/>
      <c r="AD111" s="43">
        <f t="shared" si="1"/>
        <v>7366.943866943866</v>
      </c>
      <c r="AE111" s="43">
        <f>(A111*746*0.75-(S111/100*(A111*0.75*746)))/(S111/100)</f>
        <v>5980.057351407716</v>
      </c>
      <c r="AF111" s="43">
        <f>AG111+1</f>
        <v>5</v>
      </c>
      <c r="AG111" s="43">
        <v>4</v>
      </c>
      <c r="AH111" s="43">
        <v>500</v>
      </c>
      <c r="AI111" s="43">
        <v>2800</v>
      </c>
      <c r="AJ111" s="44">
        <f>AI111*$BD$1</f>
        <v>3640</v>
      </c>
      <c r="AK111" s="43">
        <v>1017</v>
      </c>
      <c r="AL111" s="47">
        <v>93.2</v>
      </c>
      <c r="AM111" s="43">
        <v>3051</v>
      </c>
      <c r="AN111" s="43" t="s">
        <v>108</v>
      </c>
      <c r="AO111" s="43">
        <v>57</v>
      </c>
      <c r="AP111" s="43">
        <v>78</v>
      </c>
      <c r="AQ111" s="43" t="s">
        <v>125</v>
      </c>
      <c r="AR111" s="1" t="s">
        <v>110</v>
      </c>
      <c r="AS111" s="1" t="s">
        <v>110</v>
      </c>
      <c r="AY111" s="43"/>
      <c r="BC111" s="49"/>
    </row>
    <row r="112" spans="1:55" ht="14.25">
      <c r="A112" s="44">
        <v>250</v>
      </c>
      <c r="B112" s="44">
        <v>3600</v>
      </c>
      <c r="C112" s="45" t="s">
        <v>143</v>
      </c>
      <c r="D112" s="45" t="s">
        <v>143</v>
      </c>
      <c r="E112" s="43" t="s">
        <v>166</v>
      </c>
      <c r="F112" s="43">
        <v>3582</v>
      </c>
      <c r="G112" s="43">
        <v>53</v>
      </c>
      <c r="H112" s="44">
        <f>ROUND(A112*746*10000/(Q112*V112*1.732*460),0)</f>
        <v>278</v>
      </c>
      <c r="I112" s="53">
        <f>ROUND(A112*0.75*746*10000/(S112*W112*1.732*460),0)</f>
        <v>212</v>
      </c>
      <c r="J112" s="53"/>
      <c r="K112" s="53"/>
      <c r="L112" s="44">
        <v>1800</v>
      </c>
      <c r="M112" s="44">
        <f>ROUND(A112*5250/F112,0)</f>
        <v>366</v>
      </c>
      <c r="N112" s="53">
        <f>ROUND(A112*5250*0.75/(B112-((B112-F112)*0.75)),0)</f>
        <v>274</v>
      </c>
      <c r="O112" s="43">
        <v>214</v>
      </c>
      <c r="P112" s="43">
        <v>247</v>
      </c>
      <c r="Q112" s="43">
        <v>95</v>
      </c>
      <c r="R112" s="47">
        <f>A112*746/(A112*746+(AD112*1.1))*100</f>
        <v>94.52736318407959</v>
      </c>
      <c r="S112" s="43">
        <v>95.2</v>
      </c>
      <c r="T112" s="47">
        <f>ROUND(A112*0.75*746/(A112*0.75*746+(AE112*1.1))*100,1)</f>
        <v>94.7</v>
      </c>
      <c r="U112" s="43">
        <v>95</v>
      </c>
      <c r="V112" s="43">
        <v>88.6</v>
      </c>
      <c r="W112" s="47">
        <v>87</v>
      </c>
      <c r="X112" s="47">
        <v>81.8</v>
      </c>
      <c r="Y112" s="44">
        <v>15</v>
      </c>
      <c r="Z112" s="44">
        <v>8</v>
      </c>
      <c r="AA112" s="44">
        <f t="shared" si="0"/>
        <v>3614</v>
      </c>
      <c r="AB112" s="44"/>
      <c r="AC112" s="44"/>
      <c r="AD112" s="43">
        <f t="shared" si="1"/>
        <v>9815.789473684212</v>
      </c>
      <c r="AE112" s="43">
        <f>(A112*746*0.75-(S112/100*(A112*0.75*746)))/(S112/100)</f>
        <v>7052.521008403361</v>
      </c>
      <c r="AF112" s="43">
        <f>AG112+1</f>
        <v>3</v>
      </c>
      <c r="AG112" s="43">
        <v>2</v>
      </c>
      <c r="AH112" s="43">
        <v>1000</v>
      </c>
      <c r="AI112" s="43">
        <v>593</v>
      </c>
      <c r="AJ112" s="44">
        <f>AI112*$BD$1</f>
        <v>770.9</v>
      </c>
      <c r="AK112" s="43">
        <v>210</v>
      </c>
      <c r="AL112" s="47">
        <v>61.7</v>
      </c>
      <c r="AM112" s="43">
        <v>3048</v>
      </c>
      <c r="AN112" s="43" t="s">
        <v>108</v>
      </c>
      <c r="AO112" s="43">
        <v>61</v>
      </c>
      <c r="AP112" s="43">
        <v>70</v>
      </c>
      <c r="AQ112" s="43" t="s">
        <v>125</v>
      </c>
      <c r="AR112" s="1" t="s">
        <v>110</v>
      </c>
      <c r="AS112" s="1" t="s">
        <v>110</v>
      </c>
      <c r="AY112" s="43"/>
      <c r="BC112" s="49"/>
    </row>
    <row r="113" spans="1:55" ht="14.25">
      <c r="A113" s="44"/>
      <c r="B113" s="44"/>
      <c r="C113" s="45"/>
      <c r="D113" s="45"/>
      <c r="E113" s="43"/>
      <c r="F113" s="43"/>
      <c r="G113" s="43"/>
      <c r="H113" s="44"/>
      <c r="I113" s="43"/>
      <c r="J113" s="43"/>
      <c r="K113" s="43"/>
      <c r="L113" s="44"/>
      <c r="M113" s="44"/>
      <c r="N113" s="44"/>
      <c r="O113" s="43"/>
      <c r="P113" s="43"/>
      <c r="Q113" s="43"/>
      <c r="R113" s="47"/>
      <c r="S113" s="43"/>
      <c r="T113" s="47"/>
      <c r="U113" s="43"/>
      <c r="V113" s="43"/>
      <c r="W113" s="47"/>
      <c r="X113" s="47"/>
      <c r="Y113" s="44"/>
      <c r="Z113" s="44"/>
      <c r="AA113" s="44"/>
      <c r="AB113" s="44"/>
      <c r="AC113" s="44"/>
      <c r="AD113" s="43"/>
      <c r="AE113" s="43"/>
      <c r="AF113" s="43"/>
      <c r="AG113" s="43"/>
      <c r="AH113" s="43"/>
      <c r="AI113" s="43"/>
      <c r="AJ113" s="44"/>
      <c r="AK113" s="43"/>
      <c r="AL113" s="47"/>
      <c r="AM113" s="43"/>
      <c r="AN113" s="43"/>
      <c r="AO113" s="43"/>
      <c r="AP113" s="43"/>
      <c r="AQ113" s="43"/>
      <c r="AY113" s="43"/>
      <c r="BC113" s="49"/>
    </row>
    <row r="114" spans="1:55" ht="14.25">
      <c r="A114" s="44">
        <v>300</v>
      </c>
      <c r="B114" s="44">
        <v>1200</v>
      </c>
      <c r="C114" s="45" t="s">
        <v>159</v>
      </c>
      <c r="D114" s="45" t="s">
        <v>160</v>
      </c>
      <c r="E114" s="43" t="s">
        <v>165</v>
      </c>
      <c r="F114" s="43">
        <v>1188</v>
      </c>
      <c r="G114" s="43">
        <v>134</v>
      </c>
      <c r="H114" s="44">
        <f>ROUND(A114*746*10000/(Q114*V114*1.732*460),0)</f>
        <v>362</v>
      </c>
      <c r="I114" s="53">
        <f>ROUND(A114*0.75*746*10000/(S114*W114*1.732*460),0)</f>
        <v>285</v>
      </c>
      <c r="J114" s="53"/>
      <c r="K114" s="53"/>
      <c r="L114" s="44">
        <v>2200</v>
      </c>
      <c r="M114" s="44">
        <f>A114*5250/B114</f>
        <v>1312.5</v>
      </c>
      <c r="N114" s="53">
        <f>ROUND(A114*5250*0.75/(B114-((B114-F114)*0.75)),0)</f>
        <v>992</v>
      </c>
      <c r="O114" s="43">
        <v>160</v>
      </c>
      <c r="P114" s="43">
        <v>205</v>
      </c>
      <c r="Q114" s="43">
        <v>96.2</v>
      </c>
      <c r="R114" s="43">
        <v>95.8</v>
      </c>
      <c r="S114" s="43">
        <v>96</v>
      </c>
      <c r="T114" s="47">
        <f>ROUND(A114*0.75*746/(A114*0.75*746+(AE114*1.1))*100,1)</f>
        <v>95.6</v>
      </c>
      <c r="U114" s="43">
        <v>95.9</v>
      </c>
      <c r="V114" s="43">
        <v>80.6</v>
      </c>
      <c r="W114" s="47">
        <v>76.9</v>
      </c>
      <c r="X114" s="47">
        <v>68.5</v>
      </c>
      <c r="Y114" s="43">
        <v>16</v>
      </c>
      <c r="Z114" s="43">
        <v>9</v>
      </c>
      <c r="AA114" s="44">
        <f t="shared" si="0"/>
        <v>4706</v>
      </c>
      <c r="AB114" s="43"/>
      <c r="AC114" s="43"/>
      <c r="AD114" s="43">
        <f t="shared" si="1"/>
        <v>8840.332640332634</v>
      </c>
      <c r="AE114" s="43">
        <f>(A114*746*0.75-(S114/100*(A114*0.75*746)))/(S114/100)</f>
        <v>6993.75</v>
      </c>
      <c r="AF114" s="43"/>
      <c r="AG114" s="43"/>
      <c r="AH114" s="43"/>
      <c r="AI114" s="43">
        <v>8800</v>
      </c>
      <c r="AJ114" s="44">
        <f>AI114*$BD$1</f>
        <v>11440</v>
      </c>
      <c r="AK114" s="43">
        <v>3239</v>
      </c>
      <c r="AL114" s="43"/>
      <c r="AM114" s="43">
        <v>3967</v>
      </c>
      <c r="AN114" s="43" t="s">
        <v>108</v>
      </c>
      <c r="AO114" s="43">
        <v>73</v>
      </c>
      <c r="AP114" s="43">
        <v>104</v>
      </c>
      <c r="AQ114" s="43" t="s">
        <v>125</v>
      </c>
      <c r="AR114" s="1" t="s">
        <v>110</v>
      </c>
      <c r="AS114" s="1" t="s">
        <v>110</v>
      </c>
      <c r="AY114" s="43"/>
      <c r="BC114" s="49"/>
    </row>
    <row r="115" spans="1:55" ht="14.25">
      <c r="A115" s="44">
        <v>300</v>
      </c>
      <c r="B115" s="44">
        <v>1800</v>
      </c>
      <c r="C115" s="45" t="s">
        <v>159</v>
      </c>
      <c r="D115" s="45" t="s">
        <v>160</v>
      </c>
      <c r="E115" s="43" t="s">
        <v>165</v>
      </c>
      <c r="F115" s="43">
        <v>1788</v>
      </c>
      <c r="G115" s="43">
        <v>68</v>
      </c>
      <c r="H115" s="44">
        <f>ROUND(A115*746*10000/(Q115*V115*1.732*460),0)</f>
        <v>329</v>
      </c>
      <c r="I115" s="53">
        <f>ROUND(A115*0.75*746*10000/(S115*W115*1.732*460),0)</f>
        <v>248</v>
      </c>
      <c r="J115" s="53"/>
      <c r="K115" s="53"/>
      <c r="L115" s="44">
        <v>2000</v>
      </c>
      <c r="M115" s="44">
        <f>A115*5250/B115</f>
        <v>875</v>
      </c>
      <c r="N115" s="53">
        <f>ROUND(A115*5250*0.75/(B115-((B115-F115)*0.75)),0)</f>
        <v>660</v>
      </c>
      <c r="O115" s="43">
        <v>150</v>
      </c>
      <c r="P115" s="43">
        <v>220</v>
      </c>
      <c r="Q115" s="43">
        <v>96.5</v>
      </c>
      <c r="R115" s="43">
        <v>96.2</v>
      </c>
      <c r="S115" s="43">
        <v>96.6</v>
      </c>
      <c r="T115" s="47">
        <f>ROUND(A115*0.75*746/(A115*0.75*746+(AE115*1.1))*100,1)</f>
        <v>96.3</v>
      </c>
      <c r="U115" s="43">
        <v>96.1</v>
      </c>
      <c r="V115" s="43">
        <v>88.5</v>
      </c>
      <c r="W115" s="47">
        <v>87.8</v>
      </c>
      <c r="X115" s="47">
        <v>84.8</v>
      </c>
      <c r="Y115" s="43">
        <v>16</v>
      </c>
      <c r="Z115" s="43">
        <v>9</v>
      </c>
      <c r="AA115" s="44">
        <f t="shared" si="0"/>
        <v>4277</v>
      </c>
      <c r="AB115" s="43"/>
      <c r="AC115" s="43"/>
      <c r="AD115" s="43">
        <f t="shared" si="1"/>
        <v>8117.098445595855</v>
      </c>
      <c r="AE115" s="43">
        <f>(A115*746*0.75-(S115/100*(A115*0.75*746)))/(S115/100)</f>
        <v>5907.763975155273</v>
      </c>
      <c r="AF115" s="43"/>
      <c r="AG115" s="43"/>
      <c r="AH115" s="43"/>
      <c r="AI115" s="43">
        <v>3610</v>
      </c>
      <c r="AJ115" s="44">
        <f>AI115*$BD$1</f>
        <v>4693</v>
      </c>
      <c r="AK115" s="43">
        <v>1197</v>
      </c>
      <c r="AL115" s="43"/>
      <c r="AM115" s="43">
        <v>3781</v>
      </c>
      <c r="AN115" s="43" t="s">
        <v>108</v>
      </c>
      <c r="AO115" s="43">
        <v>69</v>
      </c>
      <c r="AP115" s="43">
        <v>86</v>
      </c>
      <c r="AQ115" s="43" t="s">
        <v>125</v>
      </c>
      <c r="AR115" s="1" t="s">
        <v>110</v>
      </c>
      <c r="AS115" s="1" t="s">
        <v>110</v>
      </c>
      <c r="AY115" s="43"/>
      <c r="BC115" s="49"/>
    </row>
    <row r="116" spans="1:55" ht="14.25">
      <c r="A116" s="44">
        <v>300</v>
      </c>
      <c r="B116" s="44">
        <v>3600</v>
      </c>
      <c r="C116" s="45" t="s">
        <v>160</v>
      </c>
      <c r="D116" s="45" t="s">
        <v>160</v>
      </c>
      <c r="E116" s="43" t="s">
        <v>167</v>
      </c>
      <c r="F116" s="43">
        <v>3582</v>
      </c>
      <c r="G116" s="43">
        <v>63</v>
      </c>
      <c r="H116" s="44">
        <f>ROUND(A116*746*10000/(Q116*V116*1.732*460),0)</f>
        <v>325</v>
      </c>
      <c r="I116" s="53">
        <f>ROUND(A116*0.75*746*10000/(S116*W116*1.732*460),0)</f>
        <v>245</v>
      </c>
      <c r="J116" s="53"/>
      <c r="K116" s="53"/>
      <c r="L116" s="44">
        <v>2200</v>
      </c>
      <c r="M116" s="44">
        <f>A116*5250/B116</f>
        <v>437.5</v>
      </c>
      <c r="N116" s="53">
        <f>ROUND(A116*5250*0.75/(B116-((B116-F116)*0.75)),0)</f>
        <v>329</v>
      </c>
      <c r="O116" s="43">
        <v>145</v>
      </c>
      <c r="P116" s="43">
        <v>255</v>
      </c>
      <c r="Q116" s="43">
        <v>95.8</v>
      </c>
      <c r="R116" s="43">
        <v>95.4</v>
      </c>
      <c r="S116" s="43">
        <v>96</v>
      </c>
      <c r="T116" s="47">
        <f>ROUND(A116*0.75*746/(A116*0.75*746+(AE116*1.1))*100,1)</f>
        <v>95.6</v>
      </c>
      <c r="U116" s="43">
        <v>95.4</v>
      </c>
      <c r="V116" s="43">
        <v>90.2</v>
      </c>
      <c r="W116" s="47">
        <v>89.5</v>
      </c>
      <c r="X116" s="47">
        <v>86</v>
      </c>
      <c r="Y116" s="43">
        <v>16</v>
      </c>
      <c r="Z116" s="43">
        <v>9</v>
      </c>
      <c r="AA116" s="44">
        <f t="shared" si="0"/>
        <v>4225</v>
      </c>
      <c r="AB116" s="43"/>
      <c r="AC116" s="43"/>
      <c r="AD116" s="43">
        <f t="shared" si="1"/>
        <v>9811.691022964516</v>
      </c>
      <c r="AE116" s="43">
        <f>(A116*746*0.75-(S116/100*(A116*0.75*746)))/(S116/100)</f>
        <v>6993.75</v>
      </c>
      <c r="AF116" s="43"/>
      <c r="AG116" s="43"/>
      <c r="AH116" s="43"/>
      <c r="AI116" s="43">
        <v>873</v>
      </c>
      <c r="AJ116" s="44">
        <f>AI116*$BD$1</f>
        <v>1134.9</v>
      </c>
      <c r="AK116" s="43">
        <v>1197</v>
      </c>
      <c r="AL116" s="43"/>
      <c r="AM116" s="43">
        <v>3954</v>
      </c>
      <c r="AN116" s="43" t="s">
        <v>108</v>
      </c>
      <c r="AO116" s="43">
        <v>74</v>
      </c>
      <c r="AP116" s="43">
        <v>93</v>
      </c>
      <c r="AQ116" s="43" t="s">
        <v>125</v>
      </c>
      <c r="AR116" s="1" t="s">
        <v>110</v>
      </c>
      <c r="AS116" s="1" t="s">
        <v>110</v>
      </c>
      <c r="AY116" s="43"/>
      <c r="BC116" s="49"/>
    </row>
    <row r="117" spans="1:55" ht="14.25">
      <c r="A117" s="44"/>
      <c r="B117" s="44"/>
      <c r="C117" s="45"/>
      <c r="D117" s="45"/>
      <c r="E117" s="43"/>
      <c r="F117" s="43"/>
      <c r="G117" s="43"/>
      <c r="H117" s="44"/>
      <c r="I117" s="53"/>
      <c r="J117" s="53"/>
      <c r="K117" s="53"/>
      <c r="L117" s="44"/>
      <c r="M117" s="44"/>
      <c r="N117" s="53"/>
      <c r="O117" s="43"/>
      <c r="P117" s="43"/>
      <c r="Q117" s="43"/>
      <c r="R117" s="43"/>
      <c r="S117" s="43"/>
      <c r="T117" s="47"/>
      <c r="U117" s="43"/>
      <c r="V117" s="43"/>
      <c r="W117" s="47"/>
      <c r="X117" s="47"/>
      <c r="Y117" s="43"/>
      <c r="Z117" s="43"/>
      <c r="AA117" s="44"/>
      <c r="AB117" s="43"/>
      <c r="AC117" s="43"/>
      <c r="AD117" s="43"/>
      <c r="AE117" s="43"/>
      <c r="AF117" s="43"/>
      <c r="AG117" s="43"/>
      <c r="AH117" s="43"/>
      <c r="AI117" s="43"/>
      <c r="AJ117" s="44"/>
      <c r="AK117" s="43"/>
      <c r="AL117" s="43"/>
      <c r="AM117" s="43"/>
      <c r="AN117" s="43"/>
      <c r="AO117" s="43"/>
      <c r="AP117" s="43"/>
      <c r="AQ117" s="43"/>
      <c r="AY117" s="43"/>
      <c r="BC117" s="49"/>
    </row>
    <row r="118" spans="1:55" ht="14.25">
      <c r="A118" s="44">
        <v>350</v>
      </c>
      <c r="B118" s="44">
        <v>1200</v>
      </c>
      <c r="C118" s="45"/>
      <c r="D118" s="45"/>
      <c r="E118" s="43" t="s">
        <v>167</v>
      </c>
      <c r="F118" s="43">
        <v>1185</v>
      </c>
      <c r="G118" s="43">
        <v>177</v>
      </c>
      <c r="H118" s="44">
        <v>432</v>
      </c>
      <c r="I118" s="53"/>
      <c r="J118" s="53"/>
      <c r="K118" s="53"/>
      <c r="L118" s="44">
        <v>2485</v>
      </c>
      <c r="M118" s="44"/>
      <c r="N118" s="53"/>
      <c r="O118" s="43">
        <v>167</v>
      </c>
      <c r="P118" s="43">
        <v>194</v>
      </c>
      <c r="Q118" s="43">
        <v>95.8</v>
      </c>
      <c r="R118" s="43">
        <v>95</v>
      </c>
      <c r="S118" s="43"/>
      <c r="T118" s="43"/>
      <c r="U118" s="43"/>
      <c r="V118" s="43">
        <v>79.2</v>
      </c>
      <c r="W118" s="47"/>
      <c r="X118" s="47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3"/>
      <c r="AL118" s="43"/>
      <c r="AM118" s="43"/>
      <c r="AN118" s="43"/>
      <c r="AO118" s="43">
        <v>79</v>
      </c>
      <c r="AP118" s="43" t="s">
        <v>168</v>
      </c>
      <c r="AQ118" s="43" t="s">
        <v>125</v>
      </c>
      <c r="AR118" s="1" t="s">
        <v>110</v>
      </c>
      <c r="AS118" s="1" t="s">
        <v>110</v>
      </c>
      <c r="AY118" s="43"/>
      <c r="BC118" s="49"/>
    </row>
    <row r="119" spans="1:55" ht="14.25">
      <c r="A119" s="44">
        <v>350</v>
      </c>
      <c r="B119" s="44">
        <v>1800</v>
      </c>
      <c r="C119" s="45" t="s">
        <v>160</v>
      </c>
      <c r="D119" s="45" t="s">
        <v>160</v>
      </c>
      <c r="E119" s="43" t="s">
        <v>167</v>
      </c>
      <c r="F119" s="43">
        <v>1788</v>
      </c>
      <c r="G119" s="43">
        <v>88</v>
      </c>
      <c r="H119" s="44">
        <f>ROUND(A119*746*10000/(Q119*V119*1.732*460),0)</f>
        <v>387</v>
      </c>
      <c r="I119" s="53">
        <f>ROUND(A119*0.75*746*10000/(S119*W119*1.732*460),0)</f>
        <v>294</v>
      </c>
      <c r="J119" s="53"/>
      <c r="K119" s="53"/>
      <c r="L119" s="44">
        <v>2500</v>
      </c>
      <c r="M119" s="44">
        <f>A119*5250/B119</f>
        <v>1020.8333333333334</v>
      </c>
      <c r="N119" s="53">
        <f>ROUND(A119*5250*0.75/(B119-((B119-F119)*0.75)),0)</f>
        <v>769</v>
      </c>
      <c r="O119" s="43">
        <v>175</v>
      </c>
      <c r="P119" s="43">
        <v>230</v>
      </c>
      <c r="Q119" s="43">
        <v>96.2</v>
      </c>
      <c r="R119" s="43">
        <v>95.8</v>
      </c>
      <c r="S119" s="43">
        <v>96.2</v>
      </c>
      <c r="T119" s="47">
        <f>ROUND(A119*0.75*746/(A119*0.75*746+(AE119*1.1))*100,1)</f>
        <v>95.8</v>
      </c>
      <c r="U119" s="43">
        <v>95.5</v>
      </c>
      <c r="V119" s="43">
        <v>88</v>
      </c>
      <c r="W119" s="47">
        <v>86.9</v>
      </c>
      <c r="X119" s="47">
        <v>82.3</v>
      </c>
      <c r="Y119" s="43">
        <v>16</v>
      </c>
      <c r="Z119" s="43">
        <v>9</v>
      </c>
      <c r="AA119" s="44">
        <f t="shared" si="0"/>
        <v>5031</v>
      </c>
      <c r="AB119" s="43"/>
      <c r="AC119" s="43"/>
      <c r="AD119" s="43">
        <f t="shared" si="1"/>
        <v>10313.721413721401</v>
      </c>
      <c r="AE119" s="43">
        <f>(A119*746*0.75-(S119/100*(A119*0.75*746)))/(S119/100)</f>
        <v>7735.291060291035</v>
      </c>
      <c r="AF119" s="43"/>
      <c r="AG119" s="43"/>
      <c r="AH119" s="43"/>
      <c r="AI119" s="43">
        <v>3990</v>
      </c>
      <c r="AJ119" s="44">
        <f>AI119*$BD$1</f>
        <v>5187</v>
      </c>
      <c r="AK119" s="43">
        <v>1197</v>
      </c>
      <c r="AL119" s="43"/>
      <c r="AM119" s="43">
        <v>3909</v>
      </c>
      <c r="AN119" s="43" t="s">
        <v>108</v>
      </c>
      <c r="AO119" s="43">
        <v>65</v>
      </c>
      <c r="AP119" s="43">
        <v>80</v>
      </c>
      <c r="AQ119" s="43" t="s">
        <v>125</v>
      </c>
      <c r="AR119" s="1" t="s">
        <v>110</v>
      </c>
      <c r="AS119" s="1" t="s">
        <v>110</v>
      </c>
      <c r="AY119" s="43"/>
      <c r="BC119" s="49"/>
    </row>
    <row r="120" spans="1:55" ht="14.25">
      <c r="A120" s="43"/>
      <c r="B120" s="43"/>
      <c r="C120" s="51"/>
      <c r="D120" s="51"/>
      <c r="E120" s="43"/>
      <c r="F120" s="43"/>
      <c r="G120" s="43"/>
      <c r="H120" s="44"/>
      <c r="I120" s="53"/>
      <c r="J120" s="53"/>
      <c r="K120" s="53"/>
      <c r="L120" s="43"/>
      <c r="M120" s="43"/>
      <c r="N120" s="53"/>
      <c r="O120" s="43"/>
      <c r="P120" s="43"/>
      <c r="Q120" s="43"/>
      <c r="R120" s="43"/>
      <c r="S120" s="43"/>
      <c r="T120" s="47"/>
      <c r="U120" s="43"/>
      <c r="V120" s="43"/>
      <c r="W120" s="47"/>
      <c r="X120" s="47"/>
      <c r="Y120" s="43"/>
      <c r="Z120" s="43"/>
      <c r="AA120" s="44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Y120" s="43"/>
      <c r="BC120" s="49"/>
    </row>
    <row r="121" spans="1:55" ht="14.25">
      <c r="A121" s="44">
        <v>400</v>
      </c>
      <c r="B121" s="44">
        <v>1800</v>
      </c>
      <c r="C121" s="45" t="s">
        <v>160</v>
      </c>
      <c r="D121" s="45" t="s">
        <v>160</v>
      </c>
      <c r="E121" s="43" t="s">
        <v>167</v>
      </c>
      <c r="F121" s="43">
        <v>1788</v>
      </c>
      <c r="G121" s="43">
        <v>115</v>
      </c>
      <c r="H121" s="44">
        <f>ROUND(A121*746*10000/(Q121*V121*1.732*460),0)</f>
        <v>449</v>
      </c>
      <c r="I121" s="53">
        <f>ROUND(A121*0.75*746*10000/(S121*W121*1.732*460),0)</f>
        <v>345</v>
      </c>
      <c r="J121" s="53"/>
      <c r="K121" s="53"/>
      <c r="L121" s="44">
        <v>2800</v>
      </c>
      <c r="M121" s="44">
        <f>A121*5250/B121</f>
        <v>1166.6666666666667</v>
      </c>
      <c r="N121" s="53">
        <f>ROUND(A121*5250*0.75/(B121-((B121-F121)*0.75)),0)</f>
        <v>879</v>
      </c>
      <c r="O121" s="43">
        <v>180</v>
      </c>
      <c r="P121" s="43">
        <v>240</v>
      </c>
      <c r="Q121" s="43">
        <v>96.2</v>
      </c>
      <c r="R121" s="43">
        <v>95.8</v>
      </c>
      <c r="S121" s="43">
        <v>96</v>
      </c>
      <c r="T121" s="47">
        <f>ROUND(A121*0.75*746/(A121*0.75*746+(AE121*1.1))*100,1)</f>
        <v>95.6</v>
      </c>
      <c r="U121" s="43">
        <v>95.3</v>
      </c>
      <c r="V121" s="43">
        <v>86.7</v>
      </c>
      <c r="W121" s="47">
        <v>84.9</v>
      </c>
      <c r="X121" s="47">
        <v>79.5</v>
      </c>
      <c r="Y121" s="43">
        <v>14</v>
      </c>
      <c r="Z121" s="43">
        <v>7</v>
      </c>
      <c r="AA121" s="44">
        <f t="shared" si="0"/>
        <v>5837</v>
      </c>
      <c r="AB121" s="43"/>
      <c r="AC121" s="43"/>
      <c r="AD121" s="43">
        <f t="shared" si="1"/>
        <v>11787.110187110138</v>
      </c>
      <c r="AE121" s="43">
        <f>(A121*746*0.75-(S121/100*(A121*0.75*746)))/(S121/100)</f>
        <v>9325</v>
      </c>
      <c r="AF121" s="43"/>
      <c r="AG121" s="43"/>
      <c r="AH121" s="43"/>
      <c r="AI121" s="43">
        <v>4600</v>
      </c>
      <c r="AJ121" s="44">
        <f>AI121*$BD$1</f>
        <v>5980</v>
      </c>
      <c r="AK121" s="43">
        <v>1546</v>
      </c>
      <c r="AL121" s="43"/>
      <c r="AM121" s="43">
        <v>3909</v>
      </c>
      <c r="AN121" s="43" t="s">
        <v>108</v>
      </c>
      <c r="AO121" s="43">
        <v>78</v>
      </c>
      <c r="AP121" s="43">
        <v>103</v>
      </c>
      <c r="AQ121" s="43" t="s">
        <v>125</v>
      </c>
      <c r="AR121" s="1" t="s">
        <v>110</v>
      </c>
      <c r="AS121" s="1" t="s">
        <v>110</v>
      </c>
      <c r="AY121" s="43"/>
      <c r="BC121" s="49"/>
    </row>
    <row r="122" spans="1:55" ht="10.5" customHeight="1">
      <c r="A122" s="54"/>
      <c r="B122" s="54"/>
      <c r="C122" s="51"/>
      <c r="D122" s="51"/>
      <c r="E122" s="54"/>
      <c r="F122" s="54"/>
      <c r="G122" s="46"/>
      <c r="H122" s="54"/>
      <c r="I122" s="53"/>
      <c r="J122" s="53"/>
      <c r="K122" s="53"/>
      <c r="L122" s="54"/>
      <c r="M122" s="54"/>
      <c r="N122" s="53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43"/>
      <c r="AD122" s="43"/>
      <c r="AE122" s="43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Y122" s="54"/>
      <c r="BC122" s="39"/>
    </row>
    <row r="123" spans="1:55" ht="10.5" customHeight="1">
      <c r="A123" s="54" t="s">
        <v>169</v>
      </c>
      <c r="B123" s="54"/>
      <c r="C123" s="51"/>
      <c r="D123" s="51"/>
      <c r="E123" s="54"/>
      <c r="F123" s="54"/>
      <c r="G123" s="46"/>
      <c r="H123" s="54"/>
      <c r="I123" s="53"/>
      <c r="J123" s="53"/>
      <c r="K123" s="53"/>
      <c r="L123" s="54"/>
      <c r="M123" s="54"/>
      <c r="N123" s="53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43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Y123" s="54"/>
      <c r="BC123" s="39"/>
    </row>
    <row r="124" spans="1:29" ht="14.25">
      <c r="A124" t="s">
        <v>170</v>
      </c>
      <c r="G124" s="46"/>
      <c r="AC124" s="55"/>
    </row>
    <row r="125" spans="1:7" ht="14.25">
      <c r="A125" t="s">
        <v>171</v>
      </c>
      <c r="G125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8"/>
  <sheetViews>
    <sheetView showGridLines="0" workbookViewId="0" topLeftCell="A1">
      <pane xSplit="5" ySplit="10" topLeftCell="F9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65" sqref="H65"/>
    </sheetView>
  </sheetViews>
  <sheetFormatPr defaultColWidth="9.140625" defaultRowHeight="12.75"/>
  <cols>
    <col min="3" max="4" width="8.8515625" style="1" hidden="1" customWidth="1"/>
    <col min="9" max="9" width="0" style="0" hidden="1" customWidth="1"/>
    <col min="11" max="12" width="0" style="0" hidden="1" customWidth="1"/>
    <col min="13" max="13" width="7.421875" style="0" customWidth="1"/>
    <col min="16" max="16" width="0" style="0" hidden="1" customWidth="1"/>
    <col min="18" max="18" width="0" style="0" hidden="1" customWidth="1"/>
    <col min="25" max="26" width="0" style="0" hidden="1" customWidth="1"/>
    <col min="27" max="27" width="7.8515625" style="1" customWidth="1"/>
    <col min="28" max="28" width="0" style="0" hidden="1" customWidth="1"/>
    <col min="29" max="29" width="8.7109375" style="0" hidden="1" customWidth="1"/>
    <col min="30" max="31" width="0" style="0" hidden="1" customWidth="1"/>
    <col min="32" max="32" width="8.421875" style="0" hidden="1" customWidth="1"/>
    <col min="33" max="36" width="0" style="0" hidden="1" customWidth="1"/>
    <col min="38" max="38" width="0" style="0" hidden="1" customWidth="1"/>
    <col min="42" max="43" width="7.8515625" style="1" customWidth="1"/>
    <col min="53" max="53" width="2.140625" style="0" customWidth="1"/>
  </cols>
  <sheetData>
    <row r="1" spans="1:54" ht="15.75">
      <c r="A1" s="28" t="s">
        <v>26</v>
      </c>
      <c r="B1" s="28"/>
      <c r="C1" s="29"/>
      <c r="D1" s="29"/>
      <c r="E1" s="30"/>
      <c r="F1" s="30"/>
      <c r="G1" s="30"/>
      <c r="H1" s="31"/>
      <c r="I1" s="31"/>
      <c r="J1" s="31"/>
      <c r="K1" s="31"/>
      <c r="L1" s="31"/>
      <c r="M1" s="31"/>
      <c r="O1" s="31"/>
      <c r="P1" s="31"/>
      <c r="Q1" s="31"/>
      <c r="R1" s="31"/>
      <c r="S1" s="30"/>
      <c r="T1" s="30"/>
      <c r="U1" s="30"/>
      <c r="V1" s="30"/>
      <c r="W1" s="30"/>
      <c r="X1" s="32"/>
      <c r="Y1" s="30"/>
      <c r="Z1" s="30"/>
      <c r="AB1" s="31"/>
      <c r="AC1" s="31"/>
      <c r="AD1" s="30"/>
      <c r="AE1" s="30"/>
      <c r="AF1" s="30"/>
      <c r="AG1" s="30"/>
      <c r="AH1" s="30"/>
      <c r="AI1" s="30"/>
      <c r="AJ1" s="30"/>
      <c r="AL1" s="33"/>
      <c r="AM1" s="33"/>
      <c r="AN1" s="34" t="s">
        <v>27</v>
      </c>
      <c r="AO1" s="30"/>
      <c r="AW1" s="35"/>
      <c r="BA1" s="30"/>
      <c r="BB1">
        <v>1.3</v>
      </c>
    </row>
    <row r="2" spans="1:53" s="1" customFormat="1" ht="15">
      <c r="A2" s="57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 t="s">
        <v>28</v>
      </c>
      <c r="Q2" s="36"/>
      <c r="R2" s="37" t="s">
        <v>28</v>
      </c>
      <c r="S2" s="36"/>
      <c r="T2" s="36"/>
      <c r="U2" s="36"/>
      <c r="V2" s="36"/>
      <c r="W2" s="37" t="s">
        <v>29</v>
      </c>
      <c r="X2" s="37" t="s">
        <v>29</v>
      </c>
      <c r="Y2" s="37" t="s">
        <v>30</v>
      </c>
      <c r="Z2" s="37"/>
      <c r="AA2" s="38"/>
      <c r="AB2" s="37"/>
      <c r="AC2" s="37"/>
      <c r="AD2" s="37" t="s">
        <v>31</v>
      </c>
      <c r="AE2" s="37"/>
      <c r="AF2" s="37" t="s">
        <v>32</v>
      </c>
      <c r="AG2" s="37" t="s">
        <v>33</v>
      </c>
      <c r="AH2" s="37" t="s">
        <v>30</v>
      </c>
      <c r="AI2" s="37" t="s">
        <v>30</v>
      </c>
      <c r="AJ2" s="37"/>
      <c r="AK2" s="36"/>
      <c r="AL2" s="37"/>
      <c r="AM2" s="37" t="s">
        <v>34</v>
      </c>
      <c r="AN2" s="37" t="s">
        <v>34</v>
      </c>
      <c r="AO2" s="37" t="s">
        <v>35</v>
      </c>
      <c r="AP2" s="1" t="s">
        <v>36</v>
      </c>
      <c r="AQ2" s="1" t="s">
        <v>37</v>
      </c>
      <c r="AR2"/>
      <c r="AS2"/>
      <c r="AT2"/>
      <c r="AU2"/>
      <c r="AV2"/>
      <c r="AW2" s="37"/>
      <c r="AX2"/>
      <c r="AY2"/>
      <c r="AZ2"/>
      <c r="BA2" s="37"/>
    </row>
    <row r="3" spans="1:53" ht="15">
      <c r="A3" s="37" t="s">
        <v>38</v>
      </c>
      <c r="B3" s="39"/>
      <c r="C3" s="37" t="s">
        <v>39</v>
      </c>
      <c r="D3" s="37" t="s">
        <v>40</v>
      </c>
      <c r="E3" s="39"/>
      <c r="F3" s="37" t="s">
        <v>41</v>
      </c>
      <c r="G3" s="37"/>
      <c r="H3" s="37"/>
      <c r="I3" s="40">
        <v>0.75</v>
      </c>
      <c r="J3" s="37"/>
      <c r="K3" s="39"/>
      <c r="L3" s="37" t="s">
        <v>42</v>
      </c>
      <c r="M3" s="39"/>
      <c r="N3" s="39"/>
      <c r="O3" s="37" t="s">
        <v>43</v>
      </c>
      <c r="P3" s="37" t="s">
        <v>43</v>
      </c>
      <c r="Q3" s="37" t="s">
        <v>43</v>
      </c>
      <c r="R3" s="37" t="s">
        <v>43</v>
      </c>
      <c r="S3" s="37" t="s">
        <v>43</v>
      </c>
      <c r="T3" s="37" t="s">
        <v>44</v>
      </c>
      <c r="U3" s="37" t="s">
        <v>44</v>
      </c>
      <c r="V3" s="37" t="s">
        <v>44</v>
      </c>
      <c r="W3" s="37" t="s">
        <v>32</v>
      </c>
      <c r="X3" s="37" t="s">
        <v>32</v>
      </c>
      <c r="Y3" s="37" t="s">
        <v>45</v>
      </c>
      <c r="Z3" s="37" t="s">
        <v>37</v>
      </c>
      <c r="AA3" s="41" t="s">
        <v>46</v>
      </c>
      <c r="AB3" s="37" t="s">
        <v>9</v>
      </c>
      <c r="AC3" s="37" t="s">
        <v>42</v>
      </c>
      <c r="AD3" s="42" t="s">
        <v>47</v>
      </c>
      <c r="AE3" s="42"/>
      <c r="AF3" s="37" t="s">
        <v>48</v>
      </c>
      <c r="AG3" s="37" t="s">
        <v>30</v>
      </c>
      <c r="AH3" s="37" t="s">
        <v>49</v>
      </c>
      <c r="AI3" s="37" t="s">
        <v>50</v>
      </c>
      <c r="AJ3" s="37" t="s">
        <v>51</v>
      </c>
      <c r="AK3" s="39"/>
      <c r="AL3" s="39"/>
      <c r="AM3" s="37" t="s">
        <v>52</v>
      </c>
      <c r="AN3" s="37" t="s">
        <v>52</v>
      </c>
      <c r="AO3" s="37" t="s">
        <v>53</v>
      </c>
      <c r="AP3" s="1" t="s">
        <v>6</v>
      </c>
      <c r="AQ3" s="1" t="s">
        <v>54</v>
      </c>
      <c r="AW3" s="39"/>
      <c r="BA3" s="39"/>
    </row>
    <row r="4" spans="1:53" ht="15">
      <c r="A4" s="37" t="s">
        <v>55</v>
      </c>
      <c r="B4" s="37" t="s">
        <v>56</v>
      </c>
      <c r="C4" s="37" t="s">
        <v>57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  <c r="L4" s="37" t="s">
        <v>54</v>
      </c>
      <c r="M4" s="37" t="s">
        <v>65</v>
      </c>
      <c r="N4" s="37" t="s">
        <v>66</v>
      </c>
      <c r="O4" s="37" t="s">
        <v>67</v>
      </c>
      <c r="P4" s="37" t="s">
        <v>67</v>
      </c>
      <c r="Q4" s="37" t="s">
        <v>68</v>
      </c>
      <c r="R4" s="37" t="s">
        <v>68</v>
      </c>
      <c r="S4" s="37" t="s">
        <v>69</v>
      </c>
      <c r="T4" s="37" t="s">
        <v>70</v>
      </c>
      <c r="U4" s="37" t="s">
        <v>71</v>
      </c>
      <c r="V4" s="37" t="s">
        <v>72</v>
      </c>
      <c r="W4" s="37" t="s">
        <v>73</v>
      </c>
      <c r="X4" s="37" t="s">
        <v>74</v>
      </c>
      <c r="Y4" s="37" t="s">
        <v>75</v>
      </c>
      <c r="Z4" s="37" t="s">
        <v>76</v>
      </c>
      <c r="AA4" s="41" t="s">
        <v>77</v>
      </c>
      <c r="AB4" s="37" t="s">
        <v>78</v>
      </c>
      <c r="AC4" s="37" t="s">
        <v>78</v>
      </c>
      <c r="AD4" s="37" t="s">
        <v>79</v>
      </c>
      <c r="AE4" s="37" t="s">
        <v>80</v>
      </c>
      <c r="AF4" s="37" t="s">
        <v>81</v>
      </c>
      <c r="AG4" s="37" t="s">
        <v>82</v>
      </c>
      <c r="AH4" s="37" t="s">
        <v>82</v>
      </c>
      <c r="AI4" s="37" t="s">
        <v>82</v>
      </c>
      <c r="AJ4" s="37" t="s">
        <v>83</v>
      </c>
      <c r="AK4" s="37" t="s">
        <v>84</v>
      </c>
      <c r="AL4" s="37" t="s">
        <v>85</v>
      </c>
      <c r="AM4" s="37" t="s">
        <v>67</v>
      </c>
      <c r="AN4" s="37" t="s">
        <v>86</v>
      </c>
      <c r="AO4" s="37" t="s">
        <v>87</v>
      </c>
      <c r="AP4" s="4" t="s">
        <v>88</v>
      </c>
      <c r="AQ4" s="4" t="s">
        <v>89</v>
      </c>
      <c r="AW4" s="37"/>
      <c r="BA4" s="39"/>
    </row>
    <row r="5" spans="1:53" ht="15">
      <c r="A5" s="39"/>
      <c r="B5" s="39"/>
      <c r="C5" s="37"/>
      <c r="D5" s="37"/>
      <c r="E5" s="37" t="s">
        <v>90</v>
      </c>
      <c r="F5" s="37" t="s">
        <v>91</v>
      </c>
      <c r="G5" s="37" t="s">
        <v>92</v>
      </c>
      <c r="H5" s="37" t="s">
        <v>92</v>
      </c>
      <c r="I5" s="37" t="s">
        <v>92</v>
      </c>
      <c r="J5" s="37" t="s">
        <v>92</v>
      </c>
      <c r="K5" s="37" t="s">
        <v>93</v>
      </c>
      <c r="L5" s="37" t="s">
        <v>93</v>
      </c>
      <c r="M5" s="37" t="s">
        <v>94</v>
      </c>
      <c r="N5" s="37" t="s">
        <v>94</v>
      </c>
      <c r="O5" s="37" t="s">
        <v>94</v>
      </c>
      <c r="P5" s="37" t="s">
        <v>94</v>
      </c>
      <c r="Q5" s="37" t="s">
        <v>94</v>
      </c>
      <c r="R5" s="37" t="s">
        <v>94</v>
      </c>
      <c r="S5" s="37" t="s">
        <v>94</v>
      </c>
      <c r="T5" s="37" t="s">
        <v>94</v>
      </c>
      <c r="U5" s="37" t="s">
        <v>94</v>
      </c>
      <c r="V5" s="37" t="s">
        <v>94</v>
      </c>
      <c r="W5" s="37" t="s">
        <v>95</v>
      </c>
      <c r="X5" s="37" t="s">
        <v>95</v>
      </c>
      <c r="Y5" s="37" t="s">
        <v>92</v>
      </c>
      <c r="Z5" s="37"/>
      <c r="AB5" s="37" t="s">
        <v>96</v>
      </c>
      <c r="AC5" s="37" t="s">
        <v>96</v>
      </c>
      <c r="AD5" s="37" t="s">
        <v>95</v>
      </c>
      <c r="AE5" s="37" t="s">
        <v>95</v>
      </c>
      <c r="AF5" s="37" t="s">
        <v>95</v>
      </c>
      <c r="AG5" s="37" t="s">
        <v>97</v>
      </c>
      <c r="AH5" s="37" t="s">
        <v>97</v>
      </c>
      <c r="AI5" s="37" t="s">
        <v>97</v>
      </c>
      <c r="AJ5" s="37" t="s">
        <v>97</v>
      </c>
      <c r="AK5" s="37" t="s">
        <v>98</v>
      </c>
      <c r="AL5" s="37" t="s">
        <v>99</v>
      </c>
      <c r="AM5" s="37" t="s">
        <v>100</v>
      </c>
      <c r="AN5" s="37" t="s">
        <v>100</v>
      </c>
      <c r="AO5" s="37" t="s">
        <v>101</v>
      </c>
      <c r="AP5" s="1" t="s">
        <v>102</v>
      </c>
      <c r="AQ5" s="1" t="s">
        <v>94</v>
      </c>
      <c r="AW5" s="37"/>
      <c r="BA5" s="39"/>
    </row>
    <row r="6" spans="1:53" ht="6.75" customHeight="1">
      <c r="A6" s="39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 t="s">
        <v>103</v>
      </c>
      <c r="X6" s="37" t="s">
        <v>103</v>
      </c>
      <c r="Y6" s="37"/>
      <c r="Z6" s="37"/>
      <c r="AB6" s="39"/>
      <c r="AC6" s="3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1" t="s">
        <v>104</v>
      </c>
      <c r="AQ6" s="1" t="s">
        <v>104</v>
      </c>
      <c r="AW6" s="37"/>
      <c r="BA6" s="39"/>
    </row>
    <row r="7" spans="1:53" ht="14.25" hidden="1">
      <c r="A7" s="43">
        <v>0.5</v>
      </c>
      <c r="B7" s="44">
        <v>900</v>
      </c>
      <c r="C7" s="45" t="s">
        <v>105</v>
      </c>
      <c r="D7" s="45" t="s">
        <v>105</v>
      </c>
      <c r="E7" s="43" t="s">
        <v>106</v>
      </c>
      <c r="F7" s="43">
        <v>861</v>
      </c>
      <c r="G7" s="46">
        <v>1.3</v>
      </c>
      <c r="H7" s="47">
        <f>ROUND(A7*746*10000/(O7*T7*1.732*575),1)</f>
        <v>1.4</v>
      </c>
      <c r="I7" s="47">
        <f>ROUND(A7*0.75*746*10000/(Q7*U7*1.732*575),1)</f>
        <v>1.4</v>
      </c>
      <c r="J7" s="47">
        <v>6.4</v>
      </c>
      <c r="K7" s="47">
        <f>ROUND(A7*5250/F7,1)</f>
        <v>3</v>
      </c>
      <c r="L7" s="47">
        <f>ROUND(A7*5250*0.75/(B7-((B7-F7)*0.75)),1)</f>
        <v>2.3</v>
      </c>
      <c r="M7" s="44">
        <v>360</v>
      </c>
      <c r="N7" s="44">
        <v>375</v>
      </c>
      <c r="O7" s="47">
        <v>67.5</v>
      </c>
      <c r="P7" s="47">
        <f>A7*746/(A7*746+(AB7*1.2))*100</f>
        <v>63.38028169014085</v>
      </c>
      <c r="Q7" s="47">
        <v>62.4</v>
      </c>
      <c r="R7" s="47">
        <f>ROUND(A7*0.75*746/(A7*0.75*746+(AC7*1.2))*100,1)</f>
        <v>58</v>
      </c>
      <c r="S7" s="47">
        <v>58.3</v>
      </c>
      <c r="T7" s="47">
        <v>41</v>
      </c>
      <c r="U7" s="47">
        <v>33</v>
      </c>
      <c r="V7" s="47">
        <v>29</v>
      </c>
      <c r="W7" s="44">
        <v>51</v>
      </c>
      <c r="X7" s="44">
        <v>21</v>
      </c>
      <c r="Y7" s="44">
        <f>H7*13</f>
        <v>18.2</v>
      </c>
      <c r="Z7" s="46"/>
      <c r="AA7" s="44">
        <v>48</v>
      </c>
      <c r="AB7" s="43">
        <f>(A7*746-(O7/100*(A7*746)))/(O7/100)</f>
        <v>179.59259259259258</v>
      </c>
      <c r="AC7" s="43">
        <f>(A7*746*0.75-(Q7/100*(A7*0.75*746)))/(Q7/100)</f>
        <v>168.5673076923077</v>
      </c>
      <c r="AD7" s="43"/>
      <c r="AE7" s="43"/>
      <c r="AF7" s="43"/>
      <c r="AG7" s="43">
        <v>198</v>
      </c>
      <c r="AH7" s="43">
        <f>AG7*1</f>
        <v>198</v>
      </c>
      <c r="AI7" s="43"/>
      <c r="AJ7" s="48" t="s">
        <v>107</v>
      </c>
      <c r="AK7" s="43">
        <v>57</v>
      </c>
      <c r="AL7" s="43" t="s">
        <v>108</v>
      </c>
      <c r="AM7" s="43">
        <v>48</v>
      </c>
      <c r="AN7" s="44">
        <v>50</v>
      </c>
      <c r="AO7" s="43" t="s">
        <v>109</v>
      </c>
      <c r="AP7" s="1" t="s">
        <v>110</v>
      </c>
      <c r="AQ7" s="1" t="s">
        <v>110</v>
      </c>
      <c r="AW7" s="43"/>
      <c r="BA7" s="49"/>
    </row>
    <row r="8" spans="1:53" ht="14.25" hidden="1">
      <c r="A8" s="43">
        <v>0.5</v>
      </c>
      <c r="B8" s="44">
        <v>1200</v>
      </c>
      <c r="C8" s="45" t="s">
        <v>111</v>
      </c>
      <c r="D8" s="45" t="s">
        <v>111</v>
      </c>
      <c r="E8" s="43" t="s">
        <v>112</v>
      </c>
      <c r="F8" s="43">
        <v>1162</v>
      </c>
      <c r="G8" s="46">
        <v>0.9</v>
      </c>
      <c r="H8" s="47">
        <f>ROUND(A8*746*10000/(O8*T8*1.732*575),1)</f>
        <v>0.9</v>
      </c>
      <c r="I8" s="47">
        <f>ROUND(A8*0.75*746*10000/(Q8*U8*1.732*575),1)</f>
        <v>0.9</v>
      </c>
      <c r="J8" s="47">
        <v>7.6</v>
      </c>
      <c r="K8" s="47">
        <f>ROUND(A8*5250/F8,1)</f>
        <v>2.3</v>
      </c>
      <c r="L8" s="47">
        <f>ROUND(A8*5250*0.75/(B8-((B8-F8)*0.75)),1)</f>
        <v>1.7</v>
      </c>
      <c r="M8" s="44">
        <v>548</v>
      </c>
      <c r="N8" s="44">
        <v>560</v>
      </c>
      <c r="O8" s="47">
        <v>78.8</v>
      </c>
      <c r="P8" s="47">
        <f>A8*746/(A8*746+(AB8*1.2))*100</f>
        <v>75.59478127398312</v>
      </c>
      <c r="Q8" s="47">
        <v>75</v>
      </c>
      <c r="R8" s="47">
        <f>ROUND(A8*0.75*746/(A8*0.75*746+(AC8*1.2))*100,1)</f>
        <v>71.4</v>
      </c>
      <c r="S8" s="47">
        <v>72.9</v>
      </c>
      <c r="T8" s="47">
        <v>52.4</v>
      </c>
      <c r="U8" s="47">
        <v>43</v>
      </c>
      <c r="V8" s="47">
        <v>39</v>
      </c>
      <c r="W8" s="44">
        <v>52</v>
      </c>
      <c r="X8" s="44">
        <v>30</v>
      </c>
      <c r="Y8" s="44">
        <f>H8*13</f>
        <v>11.700000000000001</v>
      </c>
      <c r="Z8" s="46">
        <v>0.8</v>
      </c>
      <c r="AA8" s="44">
        <v>50</v>
      </c>
      <c r="AB8" s="43">
        <f>(A8*746-(O8/100*(A8*746)))/(O8/100)</f>
        <v>100.35025380710664</v>
      </c>
      <c r="AC8" s="43">
        <f>(A8*746*0.75-(Q8/100*(A8*0.75*746)))/(Q8/100)</f>
        <v>93.25</v>
      </c>
      <c r="AD8" s="43">
        <f>AE8+1</f>
        <v>35</v>
      </c>
      <c r="AE8" s="43">
        <v>34</v>
      </c>
      <c r="AF8" s="43"/>
      <c r="AG8" s="43">
        <v>87</v>
      </c>
      <c r="AH8" s="43">
        <f>AG8*$BB$1</f>
        <v>113.10000000000001</v>
      </c>
      <c r="AI8" s="43"/>
      <c r="AJ8" s="48">
        <f>$BB$1*0.088</f>
        <v>0.1144</v>
      </c>
      <c r="AK8" s="43">
        <v>46</v>
      </c>
      <c r="AL8" s="43" t="s">
        <v>108</v>
      </c>
      <c r="AM8" s="43">
        <v>19</v>
      </c>
      <c r="AN8" s="44">
        <v>20</v>
      </c>
      <c r="AO8" s="43" t="s">
        <v>109</v>
      </c>
      <c r="AP8" s="1">
        <v>10</v>
      </c>
      <c r="AQ8" s="1">
        <v>100</v>
      </c>
      <c r="AW8" s="43"/>
      <c r="BA8" s="50"/>
    </row>
    <row r="9" spans="1:53" ht="14.25" hidden="1">
      <c r="A9" s="43">
        <v>0.5</v>
      </c>
      <c r="B9" s="44">
        <v>1800</v>
      </c>
      <c r="C9" s="45" t="s">
        <v>111</v>
      </c>
      <c r="D9" s="45" t="s">
        <v>111</v>
      </c>
      <c r="E9" s="43" t="s">
        <v>112</v>
      </c>
      <c r="F9" s="43">
        <v>1764</v>
      </c>
      <c r="G9" s="46">
        <v>0.6</v>
      </c>
      <c r="H9" s="47">
        <f>ROUND(A9*746*10000/(O9*T9*1.732*575),1)</f>
        <v>0.7</v>
      </c>
      <c r="I9" s="47">
        <f>ROUND(A9*0.75*746*10000/(Q9*U9*1.732*575),1)</f>
        <v>0.6</v>
      </c>
      <c r="J9" s="47">
        <v>8.8</v>
      </c>
      <c r="K9" s="47">
        <f>ROUND(A9*5250/F9,1)</f>
        <v>1.5</v>
      </c>
      <c r="L9" s="47">
        <f>ROUND(A9*5250*0.75/(B9-((B9-F9)*0.75)),1)</f>
        <v>1.1</v>
      </c>
      <c r="M9" s="44">
        <v>670</v>
      </c>
      <c r="N9" s="44">
        <v>736</v>
      </c>
      <c r="O9" s="47">
        <v>83</v>
      </c>
      <c r="P9" s="47">
        <f>A9*746/(A9*746+(AB9*1.2))*100</f>
        <v>80.27079303675048</v>
      </c>
      <c r="Q9" s="47">
        <v>81.5</v>
      </c>
      <c r="R9" s="47">
        <f>ROUND(A9*0.75*746/(A9*0.75*746+(AC9*1.2))*100,1)</f>
        <v>78.6</v>
      </c>
      <c r="S9" s="47">
        <v>80.1</v>
      </c>
      <c r="T9" s="47">
        <v>60.6</v>
      </c>
      <c r="U9" s="47">
        <v>54</v>
      </c>
      <c r="V9" s="47">
        <v>50</v>
      </c>
      <c r="W9" s="44">
        <v>44</v>
      </c>
      <c r="X9" s="44">
        <v>26</v>
      </c>
      <c r="Y9" s="44">
        <f>H9*13</f>
        <v>9.1</v>
      </c>
      <c r="Z9" s="46">
        <v>0.5</v>
      </c>
      <c r="AA9" s="44">
        <v>46</v>
      </c>
      <c r="AB9" s="43">
        <f>(A9*746-(O9/100*(A9*746)))/(O9/100)</f>
        <v>76.39759036144582</v>
      </c>
      <c r="AC9" s="43">
        <f>(A9*746*0.75-(Q9/100*(A9*0.75*746)))/(Q9/100)</f>
        <v>63.501533742331326</v>
      </c>
      <c r="AD9" s="43">
        <f>AE9+1</f>
        <v>31</v>
      </c>
      <c r="AE9" s="43">
        <v>30</v>
      </c>
      <c r="AF9" s="43"/>
      <c r="AG9" s="43"/>
      <c r="AH9" s="43"/>
      <c r="AI9" s="43"/>
      <c r="AJ9" s="48">
        <f>$BB$1*0.0865</f>
        <v>0.11245000000000001</v>
      </c>
      <c r="AK9" s="43">
        <v>42</v>
      </c>
      <c r="AL9" s="43" t="s">
        <v>108</v>
      </c>
      <c r="AM9" s="43">
        <v>12</v>
      </c>
      <c r="AN9" s="44">
        <v>13</v>
      </c>
      <c r="AO9" s="43" t="s">
        <v>109</v>
      </c>
      <c r="AP9" s="1">
        <v>10</v>
      </c>
      <c r="AQ9" s="1">
        <v>100</v>
      </c>
      <c r="AW9" s="43"/>
      <c r="BA9" s="49"/>
    </row>
    <row r="10" spans="1:53" ht="15" hidden="1">
      <c r="A10" s="39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B10" s="39"/>
      <c r="AC10" s="39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W10" s="37"/>
      <c r="BA10" s="39"/>
    </row>
    <row r="11" spans="1:53" ht="14.25">
      <c r="A11" s="43">
        <v>0.75</v>
      </c>
      <c r="B11" s="44">
        <v>900</v>
      </c>
      <c r="C11" s="45" t="s">
        <v>105</v>
      </c>
      <c r="D11" s="45" t="s">
        <v>105</v>
      </c>
      <c r="E11" s="43" t="s">
        <v>106</v>
      </c>
      <c r="F11" s="43">
        <v>860</v>
      </c>
      <c r="G11" s="46">
        <v>1.3</v>
      </c>
      <c r="H11" s="47">
        <f>ROUND(A11*746*10000/(O11*T11*1.732*575),1)</f>
        <v>1.6</v>
      </c>
      <c r="I11" s="47">
        <f>ROUND(A11*0.75*746*10000/(Q11*U11*1.732*575),1)</f>
        <v>1.5</v>
      </c>
      <c r="J11" s="47">
        <v>6.4</v>
      </c>
      <c r="K11" s="47">
        <f>ROUND(A11*5250/F11,1)</f>
        <v>4.6</v>
      </c>
      <c r="L11" s="47">
        <f>ROUND(A11*5250*0.75/(B11-((B11-F11)*0.75)),1)</f>
        <v>3.4</v>
      </c>
      <c r="M11" s="44">
        <v>240</v>
      </c>
      <c r="N11" s="44">
        <v>250</v>
      </c>
      <c r="O11" s="47">
        <v>70</v>
      </c>
      <c r="P11" s="47">
        <f>A11*746/(A11*746+(AB11*1.2))*100</f>
        <v>66.0377358490566</v>
      </c>
      <c r="Q11" s="47">
        <v>67.2</v>
      </c>
      <c r="R11" s="47">
        <f>ROUND(A11*0.75*746/(A11*0.75*746+(AC11*1.2))*100,1)</f>
        <v>63.1</v>
      </c>
      <c r="S11" s="47">
        <v>61.8</v>
      </c>
      <c r="T11" s="47">
        <v>49</v>
      </c>
      <c r="U11" s="47">
        <v>40.8</v>
      </c>
      <c r="V11" s="47">
        <v>30.7</v>
      </c>
      <c r="W11" s="44">
        <v>51</v>
      </c>
      <c r="X11" s="44">
        <v>21</v>
      </c>
      <c r="Y11" s="44">
        <f>H11*13</f>
        <v>20.8</v>
      </c>
      <c r="Z11" s="46"/>
      <c r="AA11" s="44">
        <v>48</v>
      </c>
      <c r="AB11" s="43">
        <f>(A11*746-(O11/100*(A11*746)))/(O11/100)</f>
        <v>239.78571428571433</v>
      </c>
      <c r="AC11" s="43">
        <f>(A11*746*0.75-(Q11/100*(A11*0.75*746)))/(Q11/100)</f>
        <v>204.81696428571428</v>
      </c>
      <c r="AD11" s="43"/>
      <c r="AE11" s="43"/>
      <c r="AF11" s="43"/>
      <c r="AG11" s="43">
        <v>198</v>
      </c>
      <c r="AH11" s="43">
        <f>AG11*1</f>
        <v>198</v>
      </c>
      <c r="AI11" s="43"/>
      <c r="AJ11" s="48" t="s">
        <v>107</v>
      </c>
      <c r="AK11" s="43">
        <v>57</v>
      </c>
      <c r="AL11" s="43" t="s">
        <v>108</v>
      </c>
      <c r="AM11" s="43">
        <v>55</v>
      </c>
      <c r="AN11" s="44">
        <v>65</v>
      </c>
      <c r="AO11" s="43" t="s">
        <v>109</v>
      </c>
      <c r="AP11" s="1" t="s">
        <v>110</v>
      </c>
      <c r="AQ11" s="1" t="s">
        <v>110</v>
      </c>
      <c r="AW11" s="43"/>
      <c r="BA11" s="49"/>
    </row>
    <row r="12" spans="1:53" ht="14.25">
      <c r="A12" s="43">
        <v>0.75</v>
      </c>
      <c r="B12" s="44">
        <v>1200</v>
      </c>
      <c r="C12" s="45" t="s">
        <v>111</v>
      </c>
      <c r="D12" s="45" t="s">
        <v>111</v>
      </c>
      <c r="E12" s="43" t="s">
        <v>112</v>
      </c>
      <c r="F12" s="43">
        <v>1160</v>
      </c>
      <c r="G12" s="46">
        <v>0.9</v>
      </c>
      <c r="H12" s="47">
        <f>ROUND(A12*746*10000/(O12*T12*1.732*575),1)</f>
        <v>1.1</v>
      </c>
      <c r="I12" s="47">
        <f>ROUND(A12*0.75*746*10000/(Q12*U12*1.732*575),1)</f>
        <v>1</v>
      </c>
      <c r="J12" s="47">
        <v>7.6</v>
      </c>
      <c r="K12" s="47">
        <f>ROUND(A12*5250/F12,1)</f>
        <v>3.4</v>
      </c>
      <c r="L12" s="47">
        <f>ROUND(A12*5250*0.75/(B12-((B12-F12)*0.75)),1)</f>
        <v>2.5</v>
      </c>
      <c r="M12" s="44">
        <v>365</v>
      </c>
      <c r="N12" s="44">
        <v>375</v>
      </c>
      <c r="O12" s="47">
        <v>79.8</v>
      </c>
      <c r="P12" s="47">
        <f>A12*746/(A12*746+(AB12*1.2))*100</f>
        <v>76.70126874279121</v>
      </c>
      <c r="Q12" s="47">
        <v>78.7</v>
      </c>
      <c r="R12" s="47">
        <f>ROUND(A12*0.75*746/(A12*0.75*746+(AC12*1.2))*100,1)</f>
        <v>75.5</v>
      </c>
      <c r="S12" s="47">
        <v>74.8</v>
      </c>
      <c r="T12" s="47">
        <v>61.5</v>
      </c>
      <c r="U12" s="47">
        <v>52</v>
      </c>
      <c r="V12" s="47">
        <v>40.7</v>
      </c>
      <c r="W12" s="44">
        <v>52</v>
      </c>
      <c r="X12" s="44">
        <v>30</v>
      </c>
      <c r="Y12" s="44">
        <f>H12*13</f>
        <v>14.3</v>
      </c>
      <c r="Z12" s="46">
        <v>0.8</v>
      </c>
      <c r="AA12" s="44">
        <v>50</v>
      </c>
      <c r="AB12" s="43">
        <f>(A12*746-(O12/100*(A12*746)))/(O12/100)</f>
        <v>141.62781954887228</v>
      </c>
      <c r="AC12" s="43">
        <f>(A12*746*0.75-(Q12/100*(A12*0.75*746)))/(Q12/100)</f>
        <v>113.57067979669627</v>
      </c>
      <c r="AD12" s="43">
        <f>AE12+1</f>
        <v>35</v>
      </c>
      <c r="AE12" s="43">
        <v>34</v>
      </c>
      <c r="AF12" s="43"/>
      <c r="AG12" s="43">
        <v>87</v>
      </c>
      <c r="AH12" s="43">
        <f>AG12*$BB$1</f>
        <v>113.10000000000001</v>
      </c>
      <c r="AI12" s="43"/>
      <c r="AJ12" s="48">
        <f>$BB$1*0.088</f>
        <v>0.1144</v>
      </c>
      <c r="AK12" s="43">
        <v>46</v>
      </c>
      <c r="AL12" s="43" t="s">
        <v>108</v>
      </c>
      <c r="AM12" s="43">
        <v>23</v>
      </c>
      <c r="AN12" s="44">
        <v>29</v>
      </c>
      <c r="AO12" s="43" t="s">
        <v>109</v>
      </c>
      <c r="AP12" s="1">
        <v>10</v>
      </c>
      <c r="AQ12" s="1">
        <v>100</v>
      </c>
      <c r="AW12" s="43"/>
      <c r="BA12" s="50"/>
    </row>
    <row r="13" spans="1:53" ht="14.25">
      <c r="A13" s="43">
        <v>0.75</v>
      </c>
      <c r="B13" s="44">
        <v>1800</v>
      </c>
      <c r="C13" s="45" t="s">
        <v>111</v>
      </c>
      <c r="D13" s="45" t="s">
        <v>111</v>
      </c>
      <c r="E13" s="43" t="s">
        <v>112</v>
      </c>
      <c r="F13" s="43">
        <v>1762</v>
      </c>
      <c r="G13" s="46">
        <v>0.6</v>
      </c>
      <c r="H13" s="47">
        <f>ROUND(A13*746*10000/(O13*T13*1.732*575),1)</f>
        <v>0.9</v>
      </c>
      <c r="I13" s="47">
        <f>ROUND(A13*0.75*746*10000/(Q13*U13*1.732*575),1)</f>
        <v>0.8</v>
      </c>
      <c r="J13" s="47">
        <v>8.8</v>
      </c>
      <c r="K13" s="47">
        <f>ROUND(A13*5250/F13,1)</f>
        <v>2.2</v>
      </c>
      <c r="L13" s="47">
        <f>ROUND(A13*5250*0.75/(B13-((B13-F13)*0.75)),1)</f>
        <v>1.7</v>
      </c>
      <c r="M13" s="44">
        <v>448</v>
      </c>
      <c r="N13" s="44">
        <v>491</v>
      </c>
      <c r="O13" s="47">
        <v>84.7</v>
      </c>
      <c r="P13" s="47">
        <f>A13*746/(A13*746+(AB13*1.2))*100</f>
        <v>82.18513487288958</v>
      </c>
      <c r="Q13" s="47">
        <v>82.9</v>
      </c>
      <c r="R13" s="47">
        <f>ROUND(A13*0.75*746/(A13*0.75*746+(AC13*1.2))*100,1)</f>
        <v>80.2</v>
      </c>
      <c r="S13" s="47">
        <v>81.3</v>
      </c>
      <c r="T13" s="47">
        <v>72.7</v>
      </c>
      <c r="U13" s="47">
        <v>60.2</v>
      </c>
      <c r="V13" s="47">
        <v>52.7</v>
      </c>
      <c r="W13" s="44">
        <v>44</v>
      </c>
      <c r="X13" s="44">
        <v>26</v>
      </c>
      <c r="Y13" s="44">
        <f>H13*13</f>
        <v>11.700000000000001</v>
      </c>
      <c r="Z13" s="46">
        <v>0.5</v>
      </c>
      <c r="AA13" s="44">
        <v>46</v>
      </c>
      <c r="AB13" s="43">
        <f>(A13*746-(O13/100*(A13*746)))/(O13/100)</f>
        <v>101.06670602125148</v>
      </c>
      <c r="AC13" s="43">
        <f>(A13*746*0.75-(Q13/100*(A13*0.75*746)))/(Q13/100)</f>
        <v>86.55714716525928</v>
      </c>
      <c r="AD13" s="43">
        <f>AE13+1</f>
        <v>31</v>
      </c>
      <c r="AE13" s="43">
        <v>30</v>
      </c>
      <c r="AF13" s="43"/>
      <c r="AG13" s="43"/>
      <c r="AH13" s="43"/>
      <c r="AI13" s="43"/>
      <c r="AJ13" s="48">
        <f>$BB$1*0.0865</f>
        <v>0.11245000000000001</v>
      </c>
      <c r="AK13" s="43">
        <v>42</v>
      </c>
      <c r="AL13" s="43" t="s">
        <v>108</v>
      </c>
      <c r="AM13" s="43">
        <v>14</v>
      </c>
      <c r="AN13" s="44">
        <v>17</v>
      </c>
      <c r="AO13" s="43" t="s">
        <v>109</v>
      </c>
      <c r="AP13" s="1">
        <v>10</v>
      </c>
      <c r="AQ13" s="1">
        <v>100</v>
      </c>
      <c r="AW13" s="43"/>
      <c r="BA13" s="49"/>
    </row>
    <row r="14" spans="1:53" ht="14.25">
      <c r="A14" s="43">
        <v>0.75</v>
      </c>
      <c r="B14" s="44">
        <v>3600</v>
      </c>
      <c r="C14" s="45" t="s">
        <v>111</v>
      </c>
      <c r="D14" s="45" t="s">
        <v>111</v>
      </c>
      <c r="E14" s="43" t="s">
        <v>112</v>
      </c>
      <c r="F14" s="43">
        <v>3545</v>
      </c>
      <c r="G14" s="46">
        <v>0.9</v>
      </c>
      <c r="H14" s="47">
        <f>ROUND(A14*746*10000/(O14*T14*1.732*575),1)</f>
        <v>1.1</v>
      </c>
      <c r="I14" s="47">
        <f>ROUND(A14*0.75*746*10000/(Q14*U14*1.732*575),1)</f>
        <v>1</v>
      </c>
      <c r="J14" s="47">
        <v>16</v>
      </c>
      <c r="K14" s="47">
        <f>ROUND(A14*5250/F14,1)</f>
        <v>1.1</v>
      </c>
      <c r="L14" s="47">
        <f>ROUND(A14*5250*0.75/(B14-((B14-F14)*0.75)),1)</f>
        <v>0.8</v>
      </c>
      <c r="M14" s="44">
        <v>700</v>
      </c>
      <c r="N14" s="44">
        <v>800</v>
      </c>
      <c r="O14" s="47">
        <v>80.5</v>
      </c>
      <c r="P14" s="47">
        <f>A14*746/(A14*746+(AB14*1.2))*100</f>
        <v>77.47834456207895</v>
      </c>
      <c r="Q14" s="47">
        <v>79</v>
      </c>
      <c r="R14" s="47">
        <f>ROUND(A14*0.75*746/(A14*0.75*746+(AC14*1.2))*100,1)</f>
        <v>75.8</v>
      </c>
      <c r="S14" s="47">
        <v>75.3</v>
      </c>
      <c r="T14" s="47">
        <v>63.2</v>
      </c>
      <c r="U14" s="47">
        <v>53.5</v>
      </c>
      <c r="V14" s="47">
        <v>47.6</v>
      </c>
      <c r="W14" s="44">
        <v>34</v>
      </c>
      <c r="X14" s="44">
        <v>20</v>
      </c>
      <c r="Y14" s="44">
        <f>H14*13</f>
        <v>14.3</v>
      </c>
      <c r="Z14" s="46">
        <v>0.8</v>
      </c>
      <c r="AA14" s="44">
        <v>58</v>
      </c>
      <c r="AB14" s="43">
        <f>A14*746/(O14/100)-A14*746</f>
        <v>135.53105590062103</v>
      </c>
      <c r="AC14" s="43">
        <f>(A14*746*0.75-(Q14/100*(A14*0.75*746)))/(Q14/100)</f>
        <v>111.54588607594933</v>
      </c>
      <c r="AD14" s="43">
        <f>AE14+1</f>
        <v>16</v>
      </c>
      <c r="AE14" s="43">
        <v>15</v>
      </c>
      <c r="AF14" s="43"/>
      <c r="AG14" s="43"/>
      <c r="AH14" s="43"/>
      <c r="AI14" s="43"/>
      <c r="AJ14" s="48">
        <f>$BB$1*0.0505</f>
        <v>0.06565</v>
      </c>
      <c r="AK14" s="43">
        <v>53</v>
      </c>
      <c r="AL14" s="43" t="s">
        <v>108</v>
      </c>
      <c r="AM14" s="43">
        <v>19</v>
      </c>
      <c r="AN14" s="44">
        <v>23</v>
      </c>
      <c r="AO14" s="43" t="s">
        <v>109</v>
      </c>
      <c r="AP14" s="1">
        <v>10</v>
      </c>
      <c r="AQ14" s="1">
        <v>100</v>
      </c>
      <c r="AW14" s="43"/>
      <c r="BA14" s="49"/>
    </row>
    <row r="15" spans="1:53" ht="14.25">
      <c r="A15" s="43"/>
      <c r="B15" s="43"/>
      <c r="C15" s="51"/>
      <c r="D15" s="51"/>
      <c r="E15" s="43"/>
      <c r="F15" s="43"/>
      <c r="G15" s="46"/>
      <c r="H15" s="43"/>
      <c r="I15" s="47"/>
      <c r="J15" s="47"/>
      <c r="K15" s="47"/>
      <c r="L15" s="47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6"/>
      <c r="AA15" s="44"/>
      <c r="AB15" s="43"/>
      <c r="AC15" s="43"/>
      <c r="AD15" s="43"/>
      <c r="AE15" s="43"/>
      <c r="AF15" s="43"/>
      <c r="AG15" s="43"/>
      <c r="AH15" s="43"/>
      <c r="AI15" s="43"/>
      <c r="AJ15" s="48"/>
      <c r="AK15" s="43"/>
      <c r="AL15" s="43"/>
      <c r="AM15" s="43"/>
      <c r="AN15" s="43"/>
      <c r="AO15" s="43"/>
      <c r="AW15" s="43"/>
      <c r="BA15" s="49"/>
    </row>
    <row r="16" spans="1:53" ht="14.25">
      <c r="A16" s="47">
        <v>1</v>
      </c>
      <c r="B16" s="44">
        <v>900</v>
      </c>
      <c r="C16" s="45" t="s">
        <v>113</v>
      </c>
      <c r="D16" s="45" t="s">
        <v>105</v>
      </c>
      <c r="E16" s="43" t="s">
        <v>114</v>
      </c>
      <c r="F16" s="43">
        <v>862</v>
      </c>
      <c r="G16" s="46">
        <v>1.4</v>
      </c>
      <c r="H16" s="47">
        <f>ROUND(A16*746*10000/(O16*T16*1.732*575),1)</f>
        <v>1.7</v>
      </c>
      <c r="I16" s="47">
        <f>ROUND(A16*0.75*746*10000/(Q16*U16*1.732*575),1)</f>
        <v>1.4</v>
      </c>
      <c r="J16" s="47">
        <v>7.8</v>
      </c>
      <c r="K16" s="47">
        <f>ROUND(A16*5250/F16,1)</f>
        <v>6.1</v>
      </c>
      <c r="L16" s="47">
        <f>ROUND(A16*5250*0.75/(B16-((B16-F16)*0.75)),1)</f>
        <v>4.5</v>
      </c>
      <c r="M16" s="44">
        <v>202</v>
      </c>
      <c r="N16" s="44">
        <v>306</v>
      </c>
      <c r="O16" s="47">
        <v>74</v>
      </c>
      <c r="P16" s="47">
        <f>A16*746/(A16*746+(AB16*1.2))*100</f>
        <v>70.34220532319392</v>
      </c>
      <c r="Q16" s="47">
        <v>76.1</v>
      </c>
      <c r="R16" s="47">
        <f>ROUND(A16*0.75*746/(A16*0.75*746+(AC16*1.2))*100,1)</f>
        <v>72.6</v>
      </c>
      <c r="S16" s="47">
        <v>71.5</v>
      </c>
      <c r="T16" s="47">
        <v>60</v>
      </c>
      <c r="U16" s="47">
        <v>51</v>
      </c>
      <c r="V16" s="47">
        <v>39.9</v>
      </c>
      <c r="W16" s="44">
        <v>51</v>
      </c>
      <c r="X16" s="44">
        <v>21</v>
      </c>
      <c r="Y16" s="44">
        <f>H16*13</f>
        <v>22.099999999999998</v>
      </c>
      <c r="Z16" s="46"/>
      <c r="AA16" s="44">
        <v>48</v>
      </c>
      <c r="AB16" s="43">
        <f>A16*746/(O16/100)-A16*746</f>
        <v>262.1081081081081</v>
      </c>
      <c r="AC16" s="43">
        <f>(A16*746*0.75-(Q16/100*(A16*0.75*746)))/(Q16/100)</f>
        <v>175.7168199737189</v>
      </c>
      <c r="AD16" s="43"/>
      <c r="AE16" s="43"/>
      <c r="AF16" s="43"/>
      <c r="AG16" s="43">
        <v>308</v>
      </c>
      <c r="AH16" s="43">
        <f>AG16*1</f>
        <v>308</v>
      </c>
      <c r="AI16" s="43">
        <v>31</v>
      </c>
      <c r="AJ16" s="48" t="s">
        <v>107</v>
      </c>
      <c r="AK16" s="43">
        <v>82</v>
      </c>
      <c r="AL16" s="43" t="s">
        <v>108</v>
      </c>
      <c r="AM16" s="43">
        <v>40</v>
      </c>
      <c r="AN16" s="44">
        <v>52</v>
      </c>
      <c r="AO16" s="43" t="s">
        <v>109</v>
      </c>
      <c r="AP16" s="1" t="s">
        <v>110</v>
      </c>
      <c r="AQ16" s="1" t="s">
        <v>110</v>
      </c>
      <c r="AW16" s="43"/>
      <c r="BA16" s="49"/>
    </row>
    <row r="17" spans="1:53" ht="14.25">
      <c r="A17" s="47">
        <v>1</v>
      </c>
      <c r="B17" s="44">
        <v>1200</v>
      </c>
      <c r="C17" s="45" t="s">
        <v>111</v>
      </c>
      <c r="D17" s="45" t="s">
        <v>111</v>
      </c>
      <c r="E17" s="43" t="s">
        <v>106</v>
      </c>
      <c r="F17" s="43">
        <v>1152</v>
      </c>
      <c r="G17" s="46">
        <v>1</v>
      </c>
      <c r="H17" s="47">
        <f>ROUND(A17*746*10000/(O17*T17*1.732*575),1)</f>
        <v>1.4</v>
      </c>
      <c r="I17" s="47">
        <f>ROUND(A17*0.75*746*10000/(Q17*U17*1.732*575),1)</f>
        <v>1.3</v>
      </c>
      <c r="J17" s="47">
        <v>9.6</v>
      </c>
      <c r="K17" s="47">
        <f>ROUND(A17*5250/F17,1)</f>
        <v>4.6</v>
      </c>
      <c r="L17" s="47">
        <f>ROUND(A17*5250*0.75/(B17-((B17-F17)*0.75)),1)</f>
        <v>3.4</v>
      </c>
      <c r="M17" s="44">
        <v>285</v>
      </c>
      <c r="N17" s="44">
        <v>320</v>
      </c>
      <c r="O17" s="47">
        <v>82.4</v>
      </c>
      <c r="P17" s="47">
        <f>A17*746/(A17*746+(AB17*1.2))*100</f>
        <v>79.59814528593509</v>
      </c>
      <c r="Q17" s="47">
        <v>82</v>
      </c>
      <c r="R17" s="47">
        <f>ROUND(A17*0.75*746/(A17*0.75*746+(AC17*1.2))*100,1)</f>
        <v>79.2</v>
      </c>
      <c r="S17" s="47">
        <v>78</v>
      </c>
      <c r="T17" s="47">
        <v>63</v>
      </c>
      <c r="U17" s="47">
        <v>54.5</v>
      </c>
      <c r="V17" s="47">
        <v>40.9</v>
      </c>
      <c r="W17" s="44">
        <v>52</v>
      </c>
      <c r="X17" s="44">
        <v>28</v>
      </c>
      <c r="Y17" s="44">
        <f>H17*13</f>
        <v>18.2</v>
      </c>
      <c r="Z17" s="46">
        <v>0.6</v>
      </c>
      <c r="AA17" s="44">
        <v>50</v>
      </c>
      <c r="AB17" s="43">
        <f>A17*746/(O17/100)-A17*746</f>
        <v>159.3398058252426</v>
      </c>
      <c r="AC17" s="43">
        <f>(A17*746*0.75-(Q17/100*(A17*0.75*746)))/(Q17/100)</f>
        <v>122.81707317073176</v>
      </c>
      <c r="AD17" s="43">
        <f>AE17+1</f>
        <v>35</v>
      </c>
      <c r="AE17" s="43">
        <v>34</v>
      </c>
      <c r="AF17" s="43">
        <v>33</v>
      </c>
      <c r="AG17" s="43">
        <v>93</v>
      </c>
      <c r="AH17" s="43">
        <f>AG17*$BB$1</f>
        <v>120.9</v>
      </c>
      <c r="AI17" s="43">
        <v>15</v>
      </c>
      <c r="AJ17" s="48">
        <f>$BB$1*0.105</f>
        <v>0.1365</v>
      </c>
      <c r="AK17" s="43">
        <v>49</v>
      </c>
      <c r="AL17" s="43" t="s">
        <v>108</v>
      </c>
      <c r="AM17" s="43">
        <v>40</v>
      </c>
      <c r="AN17" s="44">
        <v>46</v>
      </c>
      <c r="AO17" s="43" t="s">
        <v>109</v>
      </c>
      <c r="AP17" s="1">
        <v>10</v>
      </c>
      <c r="AQ17" s="1">
        <v>100</v>
      </c>
      <c r="AW17" s="43"/>
      <c r="BA17" s="49"/>
    </row>
    <row r="18" spans="1:53" ht="14.25">
      <c r="A18" s="47">
        <v>1</v>
      </c>
      <c r="B18" s="44">
        <v>1800</v>
      </c>
      <c r="C18" s="45" t="s">
        <v>111</v>
      </c>
      <c r="D18" s="45" t="s">
        <v>111</v>
      </c>
      <c r="E18" s="43" t="s">
        <v>112</v>
      </c>
      <c r="F18" s="43">
        <v>1749</v>
      </c>
      <c r="G18" s="46">
        <v>0.6</v>
      </c>
      <c r="H18" s="47">
        <f>ROUND(A18*746*10000/(O18*T18*1.732*575),1)</f>
        <v>1.1</v>
      </c>
      <c r="I18" s="47">
        <f>ROUND(A18*0.75*746*10000/(Q18*U18*1.732*575),1)</f>
        <v>0.9</v>
      </c>
      <c r="J18" s="47">
        <v>8.8</v>
      </c>
      <c r="K18" s="47">
        <f>ROUND(A18*5250/F18,1)</f>
        <v>3</v>
      </c>
      <c r="L18" s="47">
        <f>ROUND(A18*5250*0.75/(B18-((B18-F18)*0.75)),1)</f>
        <v>2.2</v>
      </c>
      <c r="M18" s="44">
        <v>336</v>
      </c>
      <c r="N18" s="44">
        <v>368</v>
      </c>
      <c r="O18" s="47">
        <v>85.7</v>
      </c>
      <c r="P18" s="47">
        <f>A18*746/(A18*746+(AB18*1.2))*100</f>
        <v>83.31713007972002</v>
      </c>
      <c r="Q18" s="47">
        <v>86.1</v>
      </c>
      <c r="R18" s="47">
        <f>ROUND(A18*0.75*746/(A18*0.75*746+(AC18*1.2))*100,1)</f>
        <v>83.8</v>
      </c>
      <c r="S18" s="47">
        <v>84.1</v>
      </c>
      <c r="T18" s="47">
        <v>79.1</v>
      </c>
      <c r="U18" s="47">
        <v>72.7</v>
      </c>
      <c r="V18" s="47">
        <v>59.8</v>
      </c>
      <c r="W18" s="44">
        <v>36</v>
      </c>
      <c r="X18" s="44">
        <v>24</v>
      </c>
      <c r="Y18" s="44">
        <f>H18*13</f>
        <v>14.3</v>
      </c>
      <c r="Z18" s="46">
        <v>0.5</v>
      </c>
      <c r="AA18" s="44">
        <v>46</v>
      </c>
      <c r="AB18" s="43">
        <f>A18*746/(O18/100)-A18*746</f>
        <v>124.47841306884482</v>
      </c>
      <c r="AC18" s="43">
        <f>(A18*746*0.75-(Q18/100*(A18*0.75*746)))/(Q18/100)</f>
        <v>90.32578397212546</v>
      </c>
      <c r="AD18" s="43">
        <f>AE18+1</f>
        <v>31</v>
      </c>
      <c r="AE18" s="43">
        <v>30</v>
      </c>
      <c r="AF18" s="43">
        <v>38</v>
      </c>
      <c r="AG18" s="43">
        <v>37</v>
      </c>
      <c r="AH18" s="43">
        <f>AG18*$BB$1</f>
        <v>48.1</v>
      </c>
      <c r="AI18" s="43">
        <v>5.8</v>
      </c>
      <c r="AJ18" s="48">
        <f>$BB$1*0.0865</f>
        <v>0.11245000000000001</v>
      </c>
      <c r="AK18" s="43">
        <v>43</v>
      </c>
      <c r="AL18" s="43" t="s">
        <v>108</v>
      </c>
      <c r="AM18" s="43">
        <v>18</v>
      </c>
      <c r="AN18" s="44">
        <v>21</v>
      </c>
      <c r="AO18" s="43" t="s">
        <v>109</v>
      </c>
      <c r="AP18" s="1">
        <v>10</v>
      </c>
      <c r="AQ18" s="1">
        <v>100</v>
      </c>
      <c r="AW18" s="43"/>
      <c r="BA18" s="49"/>
    </row>
    <row r="19" spans="1:53" ht="14.25">
      <c r="A19" s="47">
        <v>1</v>
      </c>
      <c r="B19" s="44">
        <v>3600</v>
      </c>
      <c r="C19" s="45" t="s">
        <v>111</v>
      </c>
      <c r="D19" s="45" t="s">
        <v>111</v>
      </c>
      <c r="E19" s="43" t="s">
        <v>112</v>
      </c>
      <c r="F19" s="43">
        <v>3526</v>
      </c>
      <c r="G19" s="46">
        <v>0.9</v>
      </c>
      <c r="H19" s="47">
        <f>ROUND(A19*746*10000/(O19*T19*1.732*575),1)</f>
        <v>1.2</v>
      </c>
      <c r="I19" s="47">
        <f>ROUND(A19*0.75*746*10000/(Q19*U19*1.732*575),1)</f>
        <v>1.1</v>
      </c>
      <c r="J19" s="47">
        <v>16</v>
      </c>
      <c r="K19" s="47">
        <f>ROUND(A19*5250/F19,1)</f>
        <v>1.5</v>
      </c>
      <c r="L19" s="47">
        <f>ROUND(A19*5250*0.75/(B19-((B19-F19)*0.75)),1)</f>
        <v>1.1</v>
      </c>
      <c r="M19" s="44">
        <v>525</v>
      </c>
      <c r="N19" s="44">
        <v>600</v>
      </c>
      <c r="O19" s="47">
        <v>83.3</v>
      </c>
      <c r="P19" s="47">
        <f>A19*746/(A19*746+(AB19*1.2))*100</f>
        <v>80.6077027288562</v>
      </c>
      <c r="Q19" s="47">
        <v>80.5</v>
      </c>
      <c r="R19" s="47">
        <f>ROUND(A19*0.75*746/(A19*0.75*746+(AC19*1.2))*100,1)</f>
        <v>77.5</v>
      </c>
      <c r="S19" s="47">
        <v>78.8</v>
      </c>
      <c r="T19" s="47">
        <v>74.5</v>
      </c>
      <c r="U19" s="47">
        <v>63.3</v>
      </c>
      <c r="V19" s="47">
        <v>51.1</v>
      </c>
      <c r="W19" s="44">
        <v>34</v>
      </c>
      <c r="X19" s="44">
        <v>20</v>
      </c>
      <c r="Y19" s="44">
        <f>H19*13</f>
        <v>15.6</v>
      </c>
      <c r="Z19" s="46">
        <v>0.8</v>
      </c>
      <c r="AA19" s="44">
        <v>58</v>
      </c>
      <c r="AB19" s="43">
        <f>(A19*746-(O19/100*(A19*746)))/(O19/100)</f>
        <v>149.55822328931572</v>
      </c>
      <c r="AC19" s="43">
        <f>(A19*746*0.75-(Q19/100*(A19*0.75*746)))/(Q19/100)</f>
        <v>135.53105590062106</v>
      </c>
      <c r="AD19" s="43">
        <f>AE19+1</f>
        <v>16</v>
      </c>
      <c r="AE19" s="43">
        <v>15</v>
      </c>
      <c r="AF19" s="43">
        <v>75</v>
      </c>
      <c r="AG19" s="43"/>
      <c r="AH19" s="43"/>
      <c r="AI19" s="43"/>
      <c r="AJ19" s="48">
        <f>$BB$1*0.0505</f>
        <v>0.06565</v>
      </c>
      <c r="AK19" s="43">
        <v>53</v>
      </c>
      <c r="AL19" s="43" t="s">
        <v>108</v>
      </c>
      <c r="AM19" s="43">
        <v>23</v>
      </c>
      <c r="AN19" s="44">
        <v>29</v>
      </c>
      <c r="AO19" s="43" t="s">
        <v>109</v>
      </c>
      <c r="AP19" s="1">
        <v>10</v>
      </c>
      <c r="AQ19" s="1">
        <v>100</v>
      </c>
      <c r="AW19" s="43"/>
      <c r="BA19" s="49"/>
    </row>
    <row r="20" spans="1:53" ht="14.25">
      <c r="A20" s="47"/>
      <c r="B20" s="43"/>
      <c r="C20" s="51"/>
      <c r="D20" s="51"/>
      <c r="E20" s="43"/>
      <c r="F20" s="43"/>
      <c r="G20" s="46"/>
      <c r="H20" s="43"/>
      <c r="I20" s="47"/>
      <c r="J20" s="47"/>
      <c r="K20" s="47"/>
      <c r="L20" s="47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6"/>
      <c r="AB20" s="43"/>
      <c r="AC20" s="43"/>
      <c r="AD20" s="43"/>
      <c r="AE20" s="43"/>
      <c r="AF20" s="43"/>
      <c r="AG20" s="43"/>
      <c r="AH20" s="43"/>
      <c r="AI20" s="43"/>
      <c r="AJ20" s="48"/>
      <c r="AK20" s="43"/>
      <c r="AL20" s="43"/>
      <c r="AM20" s="43"/>
      <c r="AN20" s="43"/>
      <c r="AO20" s="43"/>
      <c r="AW20" s="43"/>
      <c r="BA20" s="49"/>
    </row>
    <row r="21" spans="1:53" ht="14.25">
      <c r="A21" s="47">
        <v>1.5</v>
      </c>
      <c r="B21" s="44">
        <v>900</v>
      </c>
      <c r="C21" s="45" t="s">
        <v>113</v>
      </c>
      <c r="D21" s="45" t="s">
        <v>105</v>
      </c>
      <c r="E21" s="43" t="s">
        <v>115</v>
      </c>
      <c r="F21" s="43">
        <v>866</v>
      </c>
      <c r="G21" s="46">
        <v>1.8</v>
      </c>
      <c r="H21" s="47">
        <f>ROUND(A21*746*10000/(O21*T21*1.732*575),1)</f>
        <v>2.4</v>
      </c>
      <c r="I21" s="47">
        <f>ROUND(A21*0.75*746*10000/(Q21*U21*1.732*575),1)</f>
        <v>2.2</v>
      </c>
      <c r="J21" s="47">
        <v>12</v>
      </c>
      <c r="K21" s="47">
        <f>ROUND(A21*5250/F21,1)</f>
        <v>9.1</v>
      </c>
      <c r="L21" s="47">
        <f>ROUND(A21*5250*0.75/(B21-((B21-F21)*0.75)),1)</f>
        <v>6.8</v>
      </c>
      <c r="M21" s="44">
        <v>206</v>
      </c>
      <c r="N21" s="44">
        <v>299</v>
      </c>
      <c r="O21" s="47">
        <v>77</v>
      </c>
      <c r="P21" s="47">
        <f>A21*746/(A21*746+(AB21*1.2))*100</f>
        <v>73.61376673040154</v>
      </c>
      <c r="Q21" s="47">
        <v>76</v>
      </c>
      <c r="R21" s="47">
        <f>ROUND(A21*0.75*746/(A21*0.75*746+(AC21*1.2))*100,1)</f>
        <v>72.5</v>
      </c>
      <c r="S21" s="47">
        <v>71.4</v>
      </c>
      <c r="T21" s="47">
        <v>60.4</v>
      </c>
      <c r="U21" s="47">
        <v>51.4</v>
      </c>
      <c r="V21" s="47">
        <v>40.3</v>
      </c>
      <c r="W21" s="44">
        <v>51</v>
      </c>
      <c r="X21" s="44">
        <v>21</v>
      </c>
      <c r="Y21" s="44">
        <f>H21*13</f>
        <v>31.2</v>
      </c>
      <c r="Z21" s="46"/>
      <c r="AA21" s="44">
        <v>46</v>
      </c>
      <c r="AB21" s="43">
        <f>(A21*746-(O21/100*(A21*746)))/(O21/100)</f>
        <v>334.24675324675326</v>
      </c>
      <c r="AC21" s="43">
        <f>(A21*746*0.75-(Q21/100*(A21*0.75*746)))/(Q21/100)</f>
        <v>265.02631578947364</v>
      </c>
      <c r="AD21" s="43"/>
      <c r="AE21" s="43"/>
      <c r="AF21" s="43"/>
      <c r="AG21" s="43">
        <v>340</v>
      </c>
      <c r="AH21" s="43">
        <f>AG21*1</f>
        <v>340</v>
      </c>
      <c r="AI21" s="43">
        <v>45</v>
      </c>
      <c r="AJ21" s="48" t="s">
        <v>107</v>
      </c>
      <c r="AK21" s="43">
        <v>90</v>
      </c>
      <c r="AL21" s="43" t="s">
        <v>108</v>
      </c>
      <c r="AM21" s="43">
        <v>40</v>
      </c>
      <c r="AN21" s="44">
        <v>52</v>
      </c>
      <c r="AO21" s="43" t="s">
        <v>109</v>
      </c>
      <c r="AP21" s="1" t="s">
        <v>110</v>
      </c>
      <c r="AQ21" s="1" t="s">
        <v>110</v>
      </c>
      <c r="AW21" s="43"/>
      <c r="BA21" s="49"/>
    </row>
    <row r="22" spans="1:53" ht="14.25">
      <c r="A22" s="47">
        <v>1.5</v>
      </c>
      <c r="B22" s="44">
        <v>1200</v>
      </c>
      <c r="C22" s="45" t="s">
        <v>116</v>
      </c>
      <c r="D22" s="45" t="s">
        <v>116</v>
      </c>
      <c r="E22" s="43" t="s">
        <v>114</v>
      </c>
      <c r="F22" s="43">
        <v>1168</v>
      </c>
      <c r="G22" s="46">
        <v>1.2</v>
      </c>
      <c r="H22" s="47">
        <f>ROUND(A22*746*10000/(O22*T22*1.732*575),1)</f>
        <v>1.9</v>
      </c>
      <c r="I22" s="47">
        <f>ROUND(A22*0.75*746*10000/(Q22*U22*1.732*575),1)</f>
        <v>1.6</v>
      </c>
      <c r="J22" s="47">
        <v>16</v>
      </c>
      <c r="K22" s="47">
        <f>ROUND(A22*5250/F22,1)</f>
        <v>6.7</v>
      </c>
      <c r="L22" s="47">
        <f>ROUND(A22*5250*0.75/(B22-((B22-F22)*0.75)),1)</f>
        <v>5</v>
      </c>
      <c r="M22" s="44">
        <v>266</v>
      </c>
      <c r="N22" s="44">
        <v>398</v>
      </c>
      <c r="O22" s="47">
        <v>86.4</v>
      </c>
      <c r="P22" s="47">
        <f>A22*746/(A22*746+(AB22*1.2))*100</f>
        <v>84.1121495327103</v>
      </c>
      <c r="Q22" s="47">
        <v>86.1</v>
      </c>
      <c r="R22" s="47">
        <f>ROUND(A22*0.75*746/(A22*0.75*746+(AC22*1.2))*100,1)</f>
        <v>83.8</v>
      </c>
      <c r="S22" s="47">
        <v>84.1</v>
      </c>
      <c r="T22" s="47">
        <v>68.2</v>
      </c>
      <c r="U22" s="47">
        <v>60.3</v>
      </c>
      <c r="V22" s="47">
        <v>46.9</v>
      </c>
      <c r="W22" s="44">
        <v>50</v>
      </c>
      <c r="X22" s="44">
        <v>26</v>
      </c>
      <c r="Y22" s="44">
        <f>H22*13</f>
        <v>24.7</v>
      </c>
      <c r="Z22" s="46">
        <v>1.2</v>
      </c>
      <c r="AA22" s="44">
        <v>49</v>
      </c>
      <c r="AB22" s="43">
        <f>(A22*746-(O22/100*(A22*746)))/(O22/100)</f>
        <v>176.1388888888887</v>
      </c>
      <c r="AC22" s="43">
        <f>(A22*746*0.75-(Q22/100*(A22*0.75*746)))/(Q22/100)</f>
        <v>135.48867595818817</v>
      </c>
      <c r="AD22" s="43">
        <f>AE22+1</f>
        <v>30</v>
      </c>
      <c r="AE22" s="43">
        <v>29</v>
      </c>
      <c r="AF22" s="43">
        <v>34</v>
      </c>
      <c r="AG22" s="43">
        <v>149</v>
      </c>
      <c r="AH22" s="44">
        <f>AG22*$BB$1</f>
        <v>193.70000000000002</v>
      </c>
      <c r="AI22" s="43">
        <v>23</v>
      </c>
      <c r="AJ22" s="48">
        <f>$BB$1*0.224</f>
        <v>0.2912</v>
      </c>
      <c r="AK22" s="43">
        <v>77</v>
      </c>
      <c r="AL22" s="43" t="s">
        <v>108</v>
      </c>
      <c r="AM22" s="43">
        <v>25</v>
      </c>
      <c r="AN22" s="44">
        <v>41</v>
      </c>
      <c r="AO22" s="43" t="s">
        <v>109</v>
      </c>
      <c r="AP22" s="1">
        <v>10</v>
      </c>
      <c r="AQ22" s="1">
        <v>100</v>
      </c>
      <c r="AW22" s="43"/>
      <c r="BA22" s="49"/>
    </row>
    <row r="23" spans="1:53" ht="14.25">
      <c r="A23" s="47">
        <v>1.5</v>
      </c>
      <c r="B23" s="44">
        <v>1800</v>
      </c>
      <c r="C23" s="45" t="s">
        <v>111</v>
      </c>
      <c r="D23" s="45" t="s">
        <v>111</v>
      </c>
      <c r="E23" s="43" t="s">
        <v>106</v>
      </c>
      <c r="F23" s="43">
        <v>1740</v>
      </c>
      <c r="G23" s="46">
        <v>0.9</v>
      </c>
      <c r="H23" s="47">
        <f>ROUND(A23*746*10000/(O23*T23*1.732*575),1)</f>
        <v>1.6</v>
      </c>
      <c r="I23" s="47">
        <f>ROUND(A23*0.75*746*10000/(Q23*U23*1.732*575),1)</f>
        <v>1.4</v>
      </c>
      <c r="J23" s="47">
        <v>16</v>
      </c>
      <c r="K23" s="47">
        <f>ROUND(A23*5250/F23,1)</f>
        <v>4.5</v>
      </c>
      <c r="L23" s="47">
        <f>ROUND(A23*5250*0.75/(B23-((B23-F23)*0.75)),1)</f>
        <v>3.4</v>
      </c>
      <c r="M23" s="44">
        <v>385</v>
      </c>
      <c r="N23" s="44">
        <v>370</v>
      </c>
      <c r="O23" s="47">
        <v>86.9</v>
      </c>
      <c r="P23" s="47">
        <f>A23*746/(A23*746+(AB23*1.2))*100</f>
        <v>84.6813486649776</v>
      </c>
      <c r="Q23" s="47">
        <v>87.1</v>
      </c>
      <c r="R23" s="47">
        <f>ROUND(A23*0.75*746/(A23*0.75*746+(AC23*1.2))*100,1)</f>
        <v>84.9</v>
      </c>
      <c r="S23" s="47">
        <v>85.7</v>
      </c>
      <c r="T23" s="47">
        <v>78.7</v>
      </c>
      <c r="U23" s="47">
        <v>71.1</v>
      </c>
      <c r="V23" s="47">
        <v>59.2</v>
      </c>
      <c r="W23" s="44">
        <v>34</v>
      </c>
      <c r="X23" s="44">
        <v>22</v>
      </c>
      <c r="Y23" s="44">
        <f>H23*13</f>
        <v>20.8</v>
      </c>
      <c r="Z23" s="46">
        <v>0.8</v>
      </c>
      <c r="AA23" s="44">
        <v>46</v>
      </c>
      <c r="AB23" s="43">
        <f>(A23*746-(O23/100*(A23*746)))/(O23/100)</f>
        <v>168.68699654775583</v>
      </c>
      <c r="AC23" s="43">
        <f>(A23*746*0.75-(Q23/100*(A23*0.75*746)))/(Q23/100)</f>
        <v>124.29764638346725</v>
      </c>
      <c r="AD23" s="43">
        <f>AE23+1</f>
        <v>27</v>
      </c>
      <c r="AE23" s="43">
        <v>26</v>
      </c>
      <c r="AF23" s="43">
        <v>38</v>
      </c>
      <c r="AG23" s="43">
        <v>47</v>
      </c>
      <c r="AH23" s="44">
        <f>AG23*$BB$1</f>
        <v>61.1</v>
      </c>
      <c r="AI23" s="43">
        <v>8.6</v>
      </c>
      <c r="AJ23" s="48">
        <f>$BB$1*0.115</f>
        <v>0.14950000000000002</v>
      </c>
      <c r="AK23" s="43">
        <v>49</v>
      </c>
      <c r="AL23" s="43" t="s">
        <v>108</v>
      </c>
      <c r="AM23" s="43">
        <v>37</v>
      </c>
      <c r="AN23" s="44">
        <v>46</v>
      </c>
      <c r="AO23" s="43" t="s">
        <v>109</v>
      </c>
      <c r="AP23" s="1">
        <v>10</v>
      </c>
      <c r="AQ23" s="1">
        <v>100</v>
      </c>
      <c r="AW23" s="43"/>
      <c r="BA23" s="49"/>
    </row>
    <row r="24" spans="1:53" ht="14.25">
      <c r="A24" s="47">
        <v>1.5</v>
      </c>
      <c r="B24" s="44">
        <v>3600</v>
      </c>
      <c r="C24" s="45" t="s">
        <v>111</v>
      </c>
      <c r="D24" s="45" t="s">
        <v>111</v>
      </c>
      <c r="E24" s="43" t="s">
        <v>112</v>
      </c>
      <c r="F24" s="43">
        <v>3489</v>
      </c>
      <c r="G24" s="46">
        <v>0.9</v>
      </c>
      <c r="H24" s="47">
        <f>ROUND(A24*746*10000/(O24*T24*1.732*575),1)</f>
        <v>1.6</v>
      </c>
      <c r="I24" s="47">
        <f>ROUND(A24*0.75*746*10000/(Q24*U24*1.732*575),1)</f>
        <v>1.3</v>
      </c>
      <c r="J24" s="47">
        <v>16</v>
      </c>
      <c r="K24" s="47">
        <f>ROUND(A24*5250/F24,1)</f>
        <v>2.3</v>
      </c>
      <c r="L24" s="47">
        <f>ROUND(A24*5250*0.75/(B24-((B24-F24)*0.75)),1)</f>
        <v>1.7</v>
      </c>
      <c r="M24" s="44">
        <v>350</v>
      </c>
      <c r="N24" s="44">
        <v>400</v>
      </c>
      <c r="O24" s="47">
        <v>85.4</v>
      </c>
      <c r="P24" s="47">
        <f>A24*746/(A24*746+(AB24*1.2))*100</f>
        <v>82.97706956859699</v>
      </c>
      <c r="Q24" s="47">
        <v>84.9</v>
      </c>
      <c r="R24" s="47">
        <f>ROUND(A24*0.75*746/(A24*0.75*746+(AC24*1.2))*100,1)</f>
        <v>82.4</v>
      </c>
      <c r="S24" s="47">
        <v>82.4</v>
      </c>
      <c r="T24" s="47">
        <v>81.9</v>
      </c>
      <c r="U24" s="47">
        <v>75.1</v>
      </c>
      <c r="V24" s="47">
        <v>63.2</v>
      </c>
      <c r="W24" s="44">
        <v>34</v>
      </c>
      <c r="X24" s="44">
        <v>20</v>
      </c>
      <c r="Y24" s="44">
        <f>H24*13</f>
        <v>20.8</v>
      </c>
      <c r="Z24" s="46">
        <v>0.8</v>
      </c>
      <c r="AA24" s="43">
        <v>57</v>
      </c>
      <c r="AB24" s="43">
        <f>(A24*746-(O24/100*(A24*746)))/(O24/100)</f>
        <v>191.30444964871182</v>
      </c>
      <c r="AC24" s="43">
        <f>(A24*746*0.75-(Q24/100*(A24*0.75*746)))/(Q24/100)</f>
        <v>149.26590106007058</v>
      </c>
      <c r="AD24" s="43">
        <f>AE24+1</f>
        <v>13</v>
      </c>
      <c r="AE24" s="43">
        <v>12</v>
      </c>
      <c r="AF24" s="43">
        <v>76</v>
      </c>
      <c r="AG24" s="43">
        <v>9.3</v>
      </c>
      <c r="AH24" s="47">
        <f>AG24*$BB$1</f>
        <v>12.090000000000002</v>
      </c>
      <c r="AI24" s="43">
        <v>1.8</v>
      </c>
      <c r="AJ24" s="48">
        <f>$BB$1*0.0505</f>
        <v>0.06565</v>
      </c>
      <c r="AK24" s="43">
        <v>53</v>
      </c>
      <c r="AL24" s="43" t="s">
        <v>108</v>
      </c>
      <c r="AM24" s="43">
        <v>28</v>
      </c>
      <c r="AN24" s="44">
        <v>35</v>
      </c>
      <c r="AO24" s="43" t="s">
        <v>109</v>
      </c>
      <c r="AP24" s="1">
        <v>10</v>
      </c>
      <c r="AQ24" s="1">
        <v>100</v>
      </c>
      <c r="AW24" s="43"/>
      <c r="BA24" s="49"/>
    </row>
    <row r="25" spans="1:53" ht="14.25">
      <c r="A25" s="47"/>
      <c r="B25" s="43"/>
      <c r="C25" s="51"/>
      <c r="D25" s="51"/>
      <c r="E25" s="43"/>
      <c r="F25" s="43"/>
      <c r="G25" s="46"/>
      <c r="H25" s="43"/>
      <c r="I25" s="47"/>
      <c r="J25" s="47"/>
      <c r="K25" s="47"/>
      <c r="L25" s="47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6"/>
      <c r="AA25" s="44"/>
      <c r="AB25" s="43"/>
      <c r="AC25" s="43"/>
      <c r="AD25" s="43"/>
      <c r="AE25" s="43"/>
      <c r="AF25" s="43"/>
      <c r="AG25" s="43"/>
      <c r="AH25" s="43"/>
      <c r="AI25" s="43"/>
      <c r="AJ25" s="48"/>
      <c r="AK25" s="43"/>
      <c r="AL25" s="43"/>
      <c r="AM25" s="43"/>
      <c r="AN25" s="43"/>
      <c r="AO25" s="43"/>
      <c r="AW25" s="43"/>
      <c r="BA25" s="49"/>
    </row>
    <row r="26" spans="1:53" ht="14.25">
      <c r="A26" s="47">
        <v>2</v>
      </c>
      <c r="B26" s="44">
        <v>900</v>
      </c>
      <c r="C26" s="45" t="s">
        <v>117</v>
      </c>
      <c r="D26" s="45" t="s">
        <v>118</v>
      </c>
      <c r="E26" s="43" t="s">
        <v>119</v>
      </c>
      <c r="F26" s="43">
        <v>863</v>
      </c>
      <c r="G26" s="46">
        <v>1.8</v>
      </c>
      <c r="H26" s="47">
        <f>ROUND(A26*746*10000/(O26*T26*1.732*575),1)</f>
        <v>2.8</v>
      </c>
      <c r="I26" s="47">
        <f>ROUND(A26*0.75*746*10000/(Q26*U26*1.732*575),1)</f>
        <v>2.4</v>
      </c>
      <c r="J26" s="47">
        <v>12.88</v>
      </c>
      <c r="K26" s="47">
        <f>ROUND(A26*5250/F26,1)</f>
        <v>12.2</v>
      </c>
      <c r="L26" s="47">
        <f>ROUND(A26*5250*0.75/(B26-((B26-F26)*0.75)),1)</f>
        <v>9</v>
      </c>
      <c r="M26" s="44">
        <v>165</v>
      </c>
      <c r="N26" s="44">
        <v>257</v>
      </c>
      <c r="O26" s="47">
        <v>80</v>
      </c>
      <c r="P26" s="47">
        <f>A26*746/(A26*746+(AB26*1.2))*100</f>
        <v>76.92307692307693</v>
      </c>
      <c r="Q26" s="47">
        <v>80.2</v>
      </c>
      <c r="R26" s="47">
        <f>ROUND(A26*0.75*746/(A26*0.75*746+(AC26*1.2))*100,1)</f>
        <v>77.1</v>
      </c>
      <c r="S26" s="47">
        <v>77.4</v>
      </c>
      <c r="T26" s="47">
        <v>67.4</v>
      </c>
      <c r="U26" s="47">
        <v>59.2</v>
      </c>
      <c r="V26" s="47">
        <v>46.6</v>
      </c>
      <c r="W26" s="44">
        <v>46</v>
      </c>
      <c r="X26" s="44">
        <v>19</v>
      </c>
      <c r="Y26" s="44">
        <f>H26*13</f>
        <v>36.4</v>
      </c>
      <c r="Z26" s="46"/>
      <c r="AA26" s="44">
        <v>48</v>
      </c>
      <c r="AB26" s="43">
        <f>(A26*746-(O26/100*(A26*746)))/(O26/100)</f>
        <v>372.99999999999983</v>
      </c>
      <c r="AC26" s="43">
        <f>(A26*746*0.75-(Q26/100*(A26*0.75*746)))/(Q26/100)</f>
        <v>276.26184538653354</v>
      </c>
      <c r="AD26" s="43"/>
      <c r="AE26" s="43"/>
      <c r="AF26" s="43"/>
      <c r="AG26" s="43">
        <v>455</v>
      </c>
      <c r="AH26" s="44">
        <f>AG26*1</f>
        <v>455</v>
      </c>
      <c r="AI26" s="43">
        <v>60</v>
      </c>
      <c r="AJ26" s="48" t="s">
        <v>107</v>
      </c>
      <c r="AK26" s="43">
        <v>137</v>
      </c>
      <c r="AL26" s="43" t="s">
        <v>108</v>
      </c>
      <c r="AM26" s="43">
        <v>45</v>
      </c>
      <c r="AN26" s="44">
        <v>57</v>
      </c>
      <c r="AO26" s="43" t="s">
        <v>109</v>
      </c>
      <c r="AP26" s="1" t="s">
        <v>110</v>
      </c>
      <c r="AQ26" s="1" t="s">
        <v>110</v>
      </c>
      <c r="AW26" s="43"/>
      <c r="BA26" s="49"/>
    </row>
    <row r="27" spans="1:53" ht="14.25">
      <c r="A27" s="47">
        <v>2</v>
      </c>
      <c r="B27" s="44">
        <v>1200</v>
      </c>
      <c r="C27" s="45" t="s">
        <v>116</v>
      </c>
      <c r="D27" s="45" t="s">
        <v>116</v>
      </c>
      <c r="E27" s="43" t="s">
        <v>115</v>
      </c>
      <c r="F27" s="43">
        <v>1172</v>
      </c>
      <c r="G27" s="46">
        <v>1.6</v>
      </c>
      <c r="H27" s="47">
        <f>ROUND(A27*746*10000/(O27*T27*1.732*575),1)</f>
        <v>2.5</v>
      </c>
      <c r="I27" s="47">
        <f>ROUND(A27*0.75*746*10000/(Q27*U27*1.732*575),1)</f>
        <v>2.2</v>
      </c>
      <c r="J27" s="47">
        <v>20</v>
      </c>
      <c r="K27" s="47">
        <f>ROUND(A27*5250/F27,1)</f>
        <v>9</v>
      </c>
      <c r="L27" s="47">
        <f>ROUND(A27*5250*0.75/(B27-((B27-F27)*0.75)),1)</f>
        <v>6.7</v>
      </c>
      <c r="M27" s="44">
        <v>280</v>
      </c>
      <c r="N27" s="44">
        <v>376</v>
      </c>
      <c r="O27" s="47">
        <v>88.4</v>
      </c>
      <c r="P27" s="47">
        <f>A27*746/(A27*746+(AB27*1.2))*100</f>
        <v>86.39562157935889</v>
      </c>
      <c r="Q27" s="43">
        <v>87.7</v>
      </c>
      <c r="R27" s="47">
        <f>ROUND(A27*0.75*746/(A27*0.75*746+(AC27*1.2))*100,1)</f>
        <v>85.6</v>
      </c>
      <c r="S27" s="43">
        <v>85.3</v>
      </c>
      <c r="T27" s="47">
        <v>66.7</v>
      </c>
      <c r="U27" s="47">
        <v>58.1</v>
      </c>
      <c r="V27" s="47">
        <v>45.6</v>
      </c>
      <c r="W27" s="44">
        <v>50</v>
      </c>
      <c r="X27" s="44">
        <v>24</v>
      </c>
      <c r="Y27" s="44">
        <f>H27*13</f>
        <v>32.5</v>
      </c>
      <c r="Z27" s="46">
        <v>1.6</v>
      </c>
      <c r="AA27" s="44">
        <v>50</v>
      </c>
      <c r="AB27" s="43">
        <f>(A27*746-(O27/100*(A27*746)))/(O27/100)</f>
        <v>195.7828054298641</v>
      </c>
      <c r="AC27" s="43">
        <f>(A27*746*0.75-(Q27/100*(A27*0.75*746)))/(Q27/100)</f>
        <v>156.94070695553015</v>
      </c>
      <c r="AD27" s="43">
        <f>AE27+1</f>
        <v>27</v>
      </c>
      <c r="AE27" s="43">
        <v>26</v>
      </c>
      <c r="AF27" s="43">
        <v>35</v>
      </c>
      <c r="AG27" s="43">
        <v>167</v>
      </c>
      <c r="AH27" s="44">
        <f>AG27*$BB$1</f>
        <v>217.1</v>
      </c>
      <c r="AI27" s="43">
        <v>30</v>
      </c>
      <c r="AJ27" s="48">
        <f>$BB$1*0.272</f>
        <v>0.3536</v>
      </c>
      <c r="AK27" s="43">
        <v>86</v>
      </c>
      <c r="AL27" s="43" t="s">
        <v>108</v>
      </c>
      <c r="AM27" s="43">
        <v>23</v>
      </c>
      <c r="AN27" s="44">
        <v>31</v>
      </c>
      <c r="AO27" s="43" t="s">
        <v>109</v>
      </c>
      <c r="AP27" s="1">
        <v>10</v>
      </c>
      <c r="AQ27" s="1">
        <v>100</v>
      </c>
      <c r="AW27" s="43"/>
      <c r="BA27" s="49"/>
    </row>
    <row r="28" spans="1:53" ht="14.25">
      <c r="A28" s="47">
        <v>2</v>
      </c>
      <c r="B28" s="44">
        <v>1800</v>
      </c>
      <c r="C28" s="45" t="s">
        <v>111</v>
      </c>
      <c r="D28" s="45" t="s">
        <v>111</v>
      </c>
      <c r="E28" s="43" t="s">
        <v>106</v>
      </c>
      <c r="F28" s="43">
        <v>1733</v>
      </c>
      <c r="G28" s="46">
        <v>1.1</v>
      </c>
      <c r="H28" s="47">
        <f>ROUND(A28*746*10000/(O28*T28*1.732*575),1)</f>
        <v>2.1</v>
      </c>
      <c r="I28" s="47">
        <f>ROUND(A28*0.75*746*10000/(Q28*U28*1.732*575),1)</f>
        <v>1.8</v>
      </c>
      <c r="J28" s="47">
        <v>20</v>
      </c>
      <c r="K28" s="47">
        <f>ROUND(A28*5250/F28,1)</f>
        <v>6.1</v>
      </c>
      <c r="L28" s="47">
        <f>ROUND(A28*5250*0.75/(B28-((B28-F28)*0.75)),1)</f>
        <v>4.5</v>
      </c>
      <c r="M28" s="44">
        <v>380</v>
      </c>
      <c r="N28" s="44">
        <v>340</v>
      </c>
      <c r="O28" s="47">
        <v>86.8</v>
      </c>
      <c r="P28" s="47">
        <f>A28*746/(A28*746+(AB28*1.2))*100</f>
        <v>84.56742010911925</v>
      </c>
      <c r="Q28" s="47">
        <v>87.3</v>
      </c>
      <c r="R28" s="47">
        <f>ROUND(A28*0.75*746/(A28*0.75*746+(AC28*1.2))*100,1)</f>
        <v>85.1</v>
      </c>
      <c r="S28" s="47">
        <v>86.2</v>
      </c>
      <c r="T28" s="47">
        <v>80.4</v>
      </c>
      <c r="U28" s="47">
        <v>73.3</v>
      </c>
      <c r="V28" s="47">
        <v>61.6</v>
      </c>
      <c r="W28" s="44">
        <v>34</v>
      </c>
      <c r="X28" s="44">
        <v>20</v>
      </c>
      <c r="Y28" s="44">
        <f>H28*13</f>
        <v>27.3</v>
      </c>
      <c r="Z28" s="46">
        <v>1.1</v>
      </c>
      <c r="AA28" s="44">
        <v>52</v>
      </c>
      <c r="AB28" s="43">
        <f>(A28*746-(O28/100*(A28*746)))/(O28/100)</f>
        <v>226.8940092165898</v>
      </c>
      <c r="AC28" s="43">
        <f>(A28*746*0.75-(Q28/100*(A28*0.75*746)))/(Q28/100)</f>
        <v>162.7869415807561</v>
      </c>
      <c r="AD28" s="43">
        <f>AE28+1</f>
        <v>24</v>
      </c>
      <c r="AE28" s="43">
        <v>23</v>
      </c>
      <c r="AF28" s="43">
        <v>39</v>
      </c>
      <c r="AG28" s="43">
        <v>56</v>
      </c>
      <c r="AH28" s="43">
        <f>AG28*$BB$1</f>
        <v>72.8</v>
      </c>
      <c r="AI28" s="43">
        <v>11</v>
      </c>
      <c r="AJ28" s="48">
        <f>$BB$1*0.133</f>
        <v>0.17290000000000003</v>
      </c>
      <c r="AK28" s="43">
        <v>54</v>
      </c>
      <c r="AL28" s="43" t="s">
        <v>108</v>
      </c>
      <c r="AM28" s="43">
        <v>34</v>
      </c>
      <c r="AN28" s="44">
        <v>38</v>
      </c>
      <c r="AO28" s="43" t="s">
        <v>109</v>
      </c>
      <c r="AP28" s="1">
        <v>10</v>
      </c>
      <c r="AQ28" s="1">
        <v>100</v>
      </c>
      <c r="AW28" s="43"/>
      <c r="BA28" s="49"/>
    </row>
    <row r="29" spans="1:53" ht="14.25">
      <c r="A29" s="47">
        <v>2</v>
      </c>
      <c r="B29" s="44">
        <v>3600</v>
      </c>
      <c r="C29" s="45" t="s">
        <v>111</v>
      </c>
      <c r="D29" s="45" t="s">
        <v>111</v>
      </c>
      <c r="E29" s="43" t="s">
        <v>106</v>
      </c>
      <c r="F29" s="43">
        <v>3499</v>
      </c>
      <c r="G29" s="46">
        <v>1</v>
      </c>
      <c r="H29" s="47">
        <f>ROUND(A29*746*10000/(O29*T29*1.732*575),1)</f>
        <v>2.1</v>
      </c>
      <c r="I29" s="47">
        <f>ROUND(A29*0.75*746*10000/(Q29*U29*1.732*575),1)</f>
        <v>1.7</v>
      </c>
      <c r="J29" s="47">
        <v>20</v>
      </c>
      <c r="K29" s="47">
        <f>ROUND(A29*5250/F29,1)</f>
        <v>3</v>
      </c>
      <c r="L29" s="47">
        <f>ROUND(A29*5250*0.75/(B29-((B29-F29)*0.75)),1)</f>
        <v>2.2</v>
      </c>
      <c r="M29" s="44">
        <v>350</v>
      </c>
      <c r="N29" s="44">
        <v>400</v>
      </c>
      <c r="O29" s="47">
        <v>86.4</v>
      </c>
      <c r="P29" s="47">
        <f>A29*746/(A29*746+(AB29*1.2))*100</f>
        <v>84.1121495327103</v>
      </c>
      <c r="Q29" s="47">
        <v>86.3</v>
      </c>
      <c r="R29" s="47">
        <f>ROUND(A29*0.75*746/(A29*0.75*746+(AC29*1.2))*100,1)</f>
        <v>84</v>
      </c>
      <c r="S29" s="47">
        <v>84.4</v>
      </c>
      <c r="T29" s="47">
        <v>84.1</v>
      </c>
      <c r="U29" s="47">
        <v>77.7</v>
      </c>
      <c r="V29" s="47">
        <v>65.8</v>
      </c>
      <c r="W29" s="44">
        <v>31</v>
      </c>
      <c r="X29" s="44">
        <v>18</v>
      </c>
      <c r="Y29" s="44">
        <f>H29*13</f>
        <v>27.3</v>
      </c>
      <c r="Z29" s="46">
        <v>1</v>
      </c>
      <c r="AA29" s="43">
        <v>58</v>
      </c>
      <c r="AB29" s="43">
        <f>(A29*746-(O29/100*(A29*746)))/(O29/100)</f>
        <v>234.8518518518516</v>
      </c>
      <c r="AC29" s="43">
        <f>(A29*746*0.75-(Q29/100*(A29*0.75*746)))/(Q29/100)</f>
        <v>177.6396292004635</v>
      </c>
      <c r="AD29" s="43">
        <f>AE29+1</f>
        <v>13</v>
      </c>
      <c r="AE29" s="43">
        <v>12</v>
      </c>
      <c r="AF29" s="43">
        <v>77</v>
      </c>
      <c r="AG29" s="43">
        <v>10.6</v>
      </c>
      <c r="AH29" s="47">
        <f>AG29*$BB$1</f>
        <v>13.78</v>
      </c>
      <c r="AI29" s="43">
        <v>2.4</v>
      </c>
      <c r="AJ29" s="48">
        <f>$BB$1*0.0595</f>
        <v>0.07735</v>
      </c>
      <c r="AK29" s="43">
        <v>53</v>
      </c>
      <c r="AL29" s="43" t="s">
        <v>108</v>
      </c>
      <c r="AM29" s="43">
        <v>33</v>
      </c>
      <c r="AN29" s="44">
        <v>39</v>
      </c>
      <c r="AO29" s="43" t="s">
        <v>109</v>
      </c>
      <c r="AP29" s="1">
        <v>10</v>
      </c>
      <c r="AQ29" s="1">
        <v>100</v>
      </c>
      <c r="AW29" s="43"/>
      <c r="BA29" s="49"/>
    </row>
    <row r="30" spans="1:53" ht="14.25">
      <c r="A30" s="47"/>
      <c r="B30" s="43"/>
      <c r="C30" s="51"/>
      <c r="D30" s="51"/>
      <c r="E30" s="43"/>
      <c r="F30" s="43"/>
      <c r="G30" s="46"/>
      <c r="H30" s="43"/>
      <c r="I30" s="47"/>
      <c r="J30" s="47"/>
      <c r="K30" s="47"/>
      <c r="L30" s="4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6"/>
      <c r="AB30" s="43"/>
      <c r="AC30" s="43"/>
      <c r="AD30" s="43"/>
      <c r="AE30" s="43"/>
      <c r="AF30" s="43"/>
      <c r="AG30" s="43"/>
      <c r="AH30" s="43"/>
      <c r="AI30" s="43"/>
      <c r="AJ30" s="48"/>
      <c r="AK30" s="43"/>
      <c r="AL30" s="43"/>
      <c r="AM30" s="43"/>
      <c r="AN30" s="43"/>
      <c r="AO30" s="43"/>
      <c r="AW30" s="43"/>
      <c r="BA30" s="49"/>
    </row>
    <row r="31" spans="1:53" ht="14.25">
      <c r="A31" s="47">
        <v>3</v>
      </c>
      <c r="B31" s="44">
        <v>900</v>
      </c>
      <c r="C31" s="45" t="s">
        <v>117</v>
      </c>
      <c r="D31" s="45" t="s">
        <v>118</v>
      </c>
      <c r="E31" s="43" t="s">
        <v>120</v>
      </c>
      <c r="F31" s="43">
        <v>864</v>
      </c>
      <c r="G31" s="46">
        <v>2.8</v>
      </c>
      <c r="H31" s="47">
        <f>ROUND(A31*746*10000/(O31*T31*1.732*575),1)</f>
        <v>4.2</v>
      </c>
      <c r="I31" s="47">
        <f>ROUND(A31*0.75*746*10000/(Q31*U31*1.732*575),1)</f>
        <v>3.5</v>
      </c>
      <c r="J31" s="47">
        <v>20.8</v>
      </c>
      <c r="K31" s="47">
        <f>ROUND(A31*5250/F31,1)</f>
        <v>18.2</v>
      </c>
      <c r="L31" s="47">
        <f>ROUND(A31*5250*0.75/(B31-((B31-F31)*0.75)),1)</f>
        <v>13.5</v>
      </c>
      <c r="M31" s="44">
        <v>200</v>
      </c>
      <c r="N31" s="44">
        <v>265</v>
      </c>
      <c r="O31" s="47">
        <v>82.5</v>
      </c>
      <c r="P31" s="47">
        <f>A31*746/(A31*746+(AB31*1.2))*100</f>
        <v>79.71014492753622</v>
      </c>
      <c r="Q31" s="47">
        <v>82</v>
      </c>
      <c r="R31" s="47">
        <f>ROUND(A31*0.75*746/(A31*0.75*746+(AC31*1.2))*100,1)</f>
        <v>79.2</v>
      </c>
      <c r="S31" s="47">
        <v>79.2</v>
      </c>
      <c r="T31" s="47">
        <v>65.6</v>
      </c>
      <c r="U31" s="47">
        <v>58.6</v>
      </c>
      <c r="V31" s="47">
        <v>46.7</v>
      </c>
      <c r="W31" s="44">
        <v>41</v>
      </c>
      <c r="X31" s="44">
        <v>15</v>
      </c>
      <c r="Y31" s="44">
        <f>H31*13</f>
        <v>54.6</v>
      </c>
      <c r="Z31" s="46"/>
      <c r="AA31" s="44">
        <v>49</v>
      </c>
      <c r="AB31" s="43">
        <f>(A31*746-(O31/100*(A31*746)))/(O31/100)</f>
        <v>474.72727272727286</v>
      </c>
      <c r="AC31" s="43">
        <f>(A31*746*0.75-(Q31/100*(A31*0.75*746)))/(Q31/100)</f>
        <v>368.4512195121953</v>
      </c>
      <c r="AD31" s="43"/>
      <c r="AE31" s="43"/>
      <c r="AF31" s="43"/>
      <c r="AG31" s="43">
        <v>553</v>
      </c>
      <c r="AH31" s="43">
        <f>AG31*1</f>
        <v>553</v>
      </c>
      <c r="AI31" s="43">
        <v>87</v>
      </c>
      <c r="AJ31" s="48" t="s">
        <v>107</v>
      </c>
      <c r="AK31" s="43">
        <v>161</v>
      </c>
      <c r="AL31" s="43" t="s">
        <v>108</v>
      </c>
      <c r="AM31" s="43">
        <v>53</v>
      </c>
      <c r="AN31" s="44">
        <v>65</v>
      </c>
      <c r="AO31" s="43" t="s">
        <v>109</v>
      </c>
      <c r="AP31" s="1" t="s">
        <v>110</v>
      </c>
      <c r="AQ31" s="1" t="s">
        <v>110</v>
      </c>
      <c r="AW31" s="43"/>
      <c r="BA31" s="49"/>
    </row>
    <row r="32" spans="1:53" ht="14.25">
      <c r="A32" s="47">
        <v>3</v>
      </c>
      <c r="B32" s="44">
        <v>1200</v>
      </c>
      <c r="C32" s="45" t="s">
        <v>121</v>
      </c>
      <c r="D32" s="45" t="s">
        <v>121</v>
      </c>
      <c r="E32" s="43" t="s">
        <v>119</v>
      </c>
      <c r="F32" s="43">
        <v>1167</v>
      </c>
      <c r="G32" s="46">
        <v>1.7</v>
      </c>
      <c r="H32" s="47">
        <f>ROUND(A32*746*10000/(O32*T32*1.732*575),1)</f>
        <v>3.2</v>
      </c>
      <c r="I32" s="47">
        <f>ROUND(A32*0.75*746*10000/(Q32*U32*1.732*575),1)</f>
        <v>2.6</v>
      </c>
      <c r="J32" s="47">
        <v>25.6</v>
      </c>
      <c r="K32" s="47">
        <f>ROUND(A32*5250/F32,1)</f>
        <v>13.5</v>
      </c>
      <c r="L32" s="47">
        <f>ROUND(A32*5250*0.75/(B32-((B32-F32)*0.75)),1)</f>
        <v>10.1</v>
      </c>
      <c r="M32" s="44">
        <v>279</v>
      </c>
      <c r="N32" s="44">
        <v>352</v>
      </c>
      <c r="O32" s="47">
        <v>90.3</v>
      </c>
      <c r="P32" s="47">
        <f>A32*746/(A32*746+(AB32*1.2))*100</f>
        <v>88.58151854031783</v>
      </c>
      <c r="Q32" s="47">
        <v>91</v>
      </c>
      <c r="R32" s="47">
        <f>ROUND(A32*0.75*746/(A32*0.75*746+(AC32*1.2))*100,1)</f>
        <v>89.4</v>
      </c>
      <c r="S32" s="47">
        <v>89.9</v>
      </c>
      <c r="T32" s="47">
        <v>78</v>
      </c>
      <c r="U32" s="47">
        <v>70</v>
      </c>
      <c r="V32" s="47">
        <v>57.7</v>
      </c>
      <c r="W32" s="44">
        <v>48</v>
      </c>
      <c r="X32" s="44">
        <v>20</v>
      </c>
      <c r="Y32" s="44">
        <f>H32*13</f>
        <v>41.6</v>
      </c>
      <c r="Z32" s="46">
        <v>1.6</v>
      </c>
      <c r="AA32" s="44">
        <v>50</v>
      </c>
      <c r="AB32" s="43">
        <f>(A32*746-(O32/100*(A32*746)))/(O32/100)</f>
        <v>240.40531561461796</v>
      </c>
      <c r="AC32" s="43">
        <f>(A32*746*0.75-(Q32/100*(A32*0.75*746)))/(Q32/100)</f>
        <v>166.00549450549457</v>
      </c>
      <c r="AD32" s="43">
        <f>AE32+1</f>
        <v>24</v>
      </c>
      <c r="AE32" s="43">
        <v>23</v>
      </c>
      <c r="AF32" s="43">
        <v>36</v>
      </c>
      <c r="AG32" s="43">
        <v>260</v>
      </c>
      <c r="AH32" s="43">
        <f>AG32*$BB$1</f>
        <v>338</v>
      </c>
      <c r="AI32" s="43">
        <v>44</v>
      </c>
      <c r="AJ32" s="48">
        <f>$BB$1*0.5</f>
        <v>0.65</v>
      </c>
      <c r="AK32" s="43">
        <v>125</v>
      </c>
      <c r="AL32" s="43" t="s">
        <v>108</v>
      </c>
      <c r="AM32" s="43">
        <v>22</v>
      </c>
      <c r="AN32" s="44">
        <v>27</v>
      </c>
      <c r="AO32" s="43" t="s">
        <v>109</v>
      </c>
      <c r="AP32" s="1">
        <v>10</v>
      </c>
      <c r="AQ32" s="1">
        <v>100</v>
      </c>
      <c r="AW32" s="43"/>
      <c r="BA32" s="49"/>
    </row>
    <row r="33" spans="1:53" ht="14.25">
      <c r="A33" s="47">
        <v>3</v>
      </c>
      <c r="B33" s="44">
        <v>1800</v>
      </c>
      <c r="C33" s="45" t="s">
        <v>116</v>
      </c>
      <c r="D33" s="45" t="s">
        <v>116</v>
      </c>
      <c r="E33" s="43" t="s">
        <v>114</v>
      </c>
      <c r="F33" s="43">
        <v>1754</v>
      </c>
      <c r="G33" s="46">
        <v>1.2</v>
      </c>
      <c r="H33" s="47">
        <f>ROUND(A33*746*10000/(O33*T33*1.732*575),1)</f>
        <v>3</v>
      </c>
      <c r="I33" s="47">
        <f>ROUND(A33*0.75*746*10000/(Q33*U33*1.732*575),1)</f>
        <v>2.4</v>
      </c>
      <c r="J33" s="47">
        <v>25.6</v>
      </c>
      <c r="K33" s="47">
        <f>ROUND(A33*5250/F33,1)</f>
        <v>9</v>
      </c>
      <c r="L33" s="47">
        <f>ROUND(A33*5250*0.75/(B33-((B33-F33)*0.75)),1)</f>
        <v>6.7</v>
      </c>
      <c r="M33" s="44">
        <v>259</v>
      </c>
      <c r="N33" s="44">
        <v>373</v>
      </c>
      <c r="O33" s="47">
        <v>89.5</v>
      </c>
      <c r="P33" s="47">
        <f>A33*746/(A33*746+(AB33*1.2))*100</f>
        <v>87.65915768854065</v>
      </c>
      <c r="Q33" s="47">
        <v>89.7</v>
      </c>
      <c r="R33" s="47">
        <f>ROUND(A33*0.75*746/(A33*0.75*746+(AC33*1.2))*100,1)</f>
        <v>87.9</v>
      </c>
      <c r="S33" s="47">
        <v>88.6</v>
      </c>
      <c r="T33" s="47">
        <v>84.2</v>
      </c>
      <c r="U33" s="47">
        <v>79</v>
      </c>
      <c r="V33" s="47">
        <v>68.2</v>
      </c>
      <c r="W33" s="44">
        <v>28</v>
      </c>
      <c r="X33" s="44">
        <v>15</v>
      </c>
      <c r="Y33" s="44">
        <f>H33*13</f>
        <v>39</v>
      </c>
      <c r="Z33" s="46">
        <v>1.2</v>
      </c>
      <c r="AA33" s="44">
        <v>54</v>
      </c>
      <c r="AB33" s="43">
        <f>(A33*746-(O33/100*(A33*746)))/(O33/100)</f>
        <v>262.5586592178771</v>
      </c>
      <c r="AC33" s="43">
        <f>(A33*746*0.75-(Q33/100*(A33*0.75*746)))/(Q33/100)</f>
        <v>192.7374581939798</v>
      </c>
      <c r="AD33" s="43">
        <f>AE33+1</f>
        <v>21</v>
      </c>
      <c r="AE33" s="43">
        <v>20</v>
      </c>
      <c r="AF33" s="43">
        <v>40</v>
      </c>
      <c r="AG33" s="43">
        <v>81</v>
      </c>
      <c r="AH33" s="44">
        <f>AG33*$BB$1</f>
        <v>105.3</v>
      </c>
      <c r="AI33" s="43">
        <v>17</v>
      </c>
      <c r="AJ33" s="48">
        <f>$BB$1*0.245</f>
        <v>0.3185</v>
      </c>
      <c r="AK33" s="43">
        <v>77</v>
      </c>
      <c r="AL33" s="43" t="s">
        <v>108</v>
      </c>
      <c r="AM33" s="43">
        <v>34</v>
      </c>
      <c r="AN33" s="44">
        <v>41</v>
      </c>
      <c r="AO33" s="43" t="s">
        <v>109</v>
      </c>
      <c r="AP33" s="1">
        <v>10</v>
      </c>
      <c r="AQ33" s="1">
        <v>100</v>
      </c>
      <c r="AW33" s="43"/>
      <c r="BA33" s="49"/>
    </row>
    <row r="34" spans="1:53" ht="14.25">
      <c r="A34" s="47">
        <v>3</v>
      </c>
      <c r="B34" s="44">
        <v>3600</v>
      </c>
      <c r="C34" s="45" t="s">
        <v>116</v>
      </c>
      <c r="D34" s="45" t="s">
        <v>116</v>
      </c>
      <c r="E34" s="43" t="s">
        <v>114</v>
      </c>
      <c r="F34" s="43">
        <v>3509</v>
      </c>
      <c r="G34" s="46">
        <v>0.9</v>
      </c>
      <c r="H34" s="47">
        <f>ROUND(A34*746*10000/(O34*T34*1.732*575),1)</f>
        <v>2.8</v>
      </c>
      <c r="I34" s="47">
        <f>ROUND(A34*0.75*746*10000/(Q34*U34*1.732*575),1)</f>
        <v>2.2</v>
      </c>
      <c r="J34" s="47">
        <v>25.6</v>
      </c>
      <c r="K34" s="47">
        <f>ROUND(A34*5250/F34,1)</f>
        <v>4.5</v>
      </c>
      <c r="L34" s="47">
        <f>ROUND(A34*5250*0.75/(B34-((B34-F34)*0.75)),1)</f>
        <v>3.3</v>
      </c>
      <c r="M34" s="44">
        <v>248</v>
      </c>
      <c r="N34" s="44">
        <v>388</v>
      </c>
      <c r="O34" s="47">
        <v>88.8</v>
      </c>
      <c r="P34" s="47">
        <f>A34*746/(A34*746+(AB34*1.2))*100</f>
        <v>86.85446009389672</v>
      </c>
      <c r="Q34" s="47">
        <v>88.9</v>
      </c>
      <c r="R34" s="47">
        <f>ROUND(A34*0.75*746/(A34*0.75*746+(AC34*1.2))*100,1)</f>
        <v>87</v>
      </c>
      <c r="S34" s="47">
        <v>87.6</v>
      </c>
      <c r="T34" s="47">
        <v>91.1</v>
      </c>
      <c r="U34" s="47">
        <v>87.9</v>
      </c>
      <c r="V34" s="47">
        <v>81</v>
      </c>
      <c r="W34" s="44">
        <v>24</v>
      </c>
      <c r="X34" s="44">
        <v>12</v>
      </c>
      <c r="Y34" s="44">
        <f>H34*13</f>
        <v>36.4</v>
      </c>
      <c r="Z34" s="46">
        <v>0.8</v>
      </c>
      <c r="AA34" s="44">
        <v>59</v>
      </c>
      <c r="AB34" s="43">
        <f>(A34*746-(O34/100*(A34*746)))/(O34/100)</f>
        <v>282.2702702702702</v>
      </c>
      <c r="AC34" s="43">
        <f>(A34*746*0.75-(Q34/100*(A34*0.75*746)))/(Q34/100)</f>
        <v>209.57649043869515</v>
      </c>
      <c r="AD34" s="43">
        <f>AE34+1</f>
        <v>11</v>
      </c>
      <c r="AE34" s="43">
        <v>10</v>
      </c>
      <c r="AF34" s="43">
        <v>80</v>
      </c>
      <c r="AG34" s="43">
        <v>18.6</v>
      </c>
      <c r="AH34" s="47">
        <f>AG34*$BB$1</f>
        <v>24.180000000000003</v>
      </c>
      <c r="AI34" s="43">
        <v>3.5</v>
      </c>
      <c r="AJ34" s="48">
        <f>$BB$1*0.0855</f>
        <v>0.11115000000000001</v>
      </c>
      <c r="AK34" s="43">
        <v>77</v>
      </c>
      <c r="AL34" s="43" t="s">
        <v>108</v>
      </c>
      <c r="AM34" s="43">
        <v>25</v>
      </c>
      <c r="AN34" s="44">
        <v>30</v>
      </c>
      <c r="AO34" s="43" t="s">
        <v>109</v>
      </c>
      <c r="AP34" s="1">
        <v>10</v>
      </c>
      <c r="AQ34" s="1">
        <v>100</v>
      </c>
      <c r="AW34" s="43"/>
      <c r="BA34" s="49"/>
    </row>
    <row r="35" spans="1:53" ht="14.25">
      <c r="A35" s="47"/>
      <c r="B35" s="43"/>
      <c r="C35" s="51"/>
      <c r="D35" s="51"/>
      <c r="E35" s="43"/>
      <c r="F35" s="43"/>
      <c r="G35" s="46"/>
      <c r="H35" s="43"/>
      <c r="I35" s="47"/>
      <c r="J35" s="47"/>
      <c r="K35" s="47"/>
      <c r="L35" s="47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6"/>
      <c r="AA35" s="43"/>
      <c r="AB35" s="43"/>
      <c r="AC35" s="43"/>
      <c r="AD35" s="43"/>
      <c r="AE35" s="43"/>
      <c r="AF35" s="43"/>
      <c r="AG35" s="43"/>
      <c r="AH35" s="43"/>
      <c r="AI35" s="43"/>
      <c r="AJ35" s="48"/>
      <c r="AK35" s="43"/>
      <c r="AL35" s="43"/>
      <c r="AM35" s="43"/>
      <c r="AN35" s="43"/>
      <c r="AO35" s="43"/>
      <c r="AW35" s="43"/>
      <c r="BA35" s="49"/>
    </row>
    <row r="36" spans="1:53" ht="14.25">
      <c r="A36" s="47">
        <v>5</v>
      </c>
      <c r="B36" s="44">
        <v>900</v>
      </c>
      <c r="C36" s="45" t="s">
        <v>122</v>
      </c>
      <c r="D36" s="45" t="s">
        <v>118</v>
      </c>
      <c r="E36" s="43" t="s">
        <v>123</v>
      </c>
      <c r="F36" s="43">
        <v>874</v>
      </c>
      <c r="G36" s="46">
        <v>3.1</v>
      </c>
      <c r="H36" s="47">
        <f>ROUND(A36*746*10000/(O36*T36*1.732*575),1)</f>
        <v>6.1</v>
      </c>
      <c r="I36" s="47">
        <f>ROUND(A36*0.75*746*10000/(Q36*U36*1.732*575),1)</f>
        <v>4.9</v>
      </c>
      <c r="J36" s="47">
        <v>27.2</v>
      </c>
      <c r="K36" s="47">
        <f>ROUND(A36*5250/F36,1)</f>
        <v>30</v>
      </c>
      <c r="L36" s="47">
        <f>ROUND(A36*5250*0.75/(B36-((B36-F36)*0.75)),1)</f>
        <v>22.4</v>
      </c>
      <c r="M36" s="44">
        <v>156</v>
      </c>
      <c r="N36" s="44">
        <v>214</v>
      </c>
      <c r="O36" s="47">
        <v>86.5</v>
      </c>
      <c r="P36" s="47">
        <f>A36*746/(A36*746+(AB36*1.2))*100</f>
        <v>84.22590068159688</v>
      </c>
      <c r="Q36" s="47">
        <v>87.3</v>
      </c>
      <c r="R36" s="47">
        <f>ROUND(A36*0.75*746/(A36*0.75*746+(AC36*1.2))*100,1)</f>
        <v>85.1</v>
      </c>
      <c r="S36" s="47">
        <v>86</v>
      </c>
      <c r="T36" s="47">
        <v>70.9</v>
      </c>
      <c r="U36" s="47">
        <v>65.2</v>
      </c>
      <c r="V36" s="47">
        <v>54.8</v>
      </c>
      <c r="W36" s="44">
        <v>31</v>
      </c>
      <c r="X36" s="44">
        <v>11</v>
      </c>
      <c r="Y36" s="44">
        <f>H36*13</f>
        <v>79.3</v>
      </c>
      <c r="Z36" s="46"/>
      <c r="AA36" s="44">
        <v>49</v>
      </c>
      <c r="AB36" s="43">
        <f>(A36*746-(O36/100*(A36*746)))/(O36/100)</f>
        <v>582.1387283236996</v>
      </c>
      <c r="AC36" s="43">
        <f>(A36*746*0.75-(Q36/100*(A36*0.75*746)))/(Q36/100)</f>
        <v>406.96735395188983</v>
      </c>
      <c r="AD36" s="43"/>
      <c r="AE36" s="43"/>
      <c r="AF36" s="43"/>
      <c r="AG36" s="43">
        <v>985</v>
      </c>
      <c r="AH36" s="43">
        <f>AG36*1</f>
        <v>985</v>
      </c>
      <c r="AI36" s="43">
        <v>142</v>
      </c>
      <c r="AJ36" s="48" t="s">
        <v>107</v>
      </c>
      <c r="AK36" s="43">
        <v>240</v>
      </c>
      <c r="AL36" s="43" t="s">
        <v>108</v>
      </c>
      <c r="AM36" s="43">
        <v>47</v>
      </c>
      <c r="AN36" s="44">
        <v>59</v>
      </c>
      <c r="AO36" s="43" t="s">
        <v>109</v>
      </c>
      <c r="AP36" s="1" t="s">
        <v>110</v>
      </c>
      <c r="AQ36" s="1" t="s">
        <v>110</v>
      </c>
      <c r="AW36" s="43"/>
      <c r="BA36" s="49"/>
    </row>
    <row r="37" spans="1:53" ht="14.25">
      <c r="A37" s="47">
        <v>5</v>
      </c>
      <c r="B37" s="44">
        <v>1200</v>
      </c>
      <c r="C37" s="45" t="s">
        <v>121</v>
      </c>
      <c r="D37" s="45" t="s">
        <v>121</v>
      </c>
      <c r="E37" s="43" t="s">
        <v>120</v>
      </c>
      <c r="F37" s="43">
        <v>1165</v>
      </c>
      <c r="G37" s="46">
        <v>2.5</v>
      </c>
      <c r="H37" s="47">
        <f>ROUND(A37*746*10000/(O37*T37*1.732*575),1)</f>
        <v>5.2</v>
      </c>
      <c r="I37" s="47">
        <f>ROUND(A37*0.75*746*10000/(Q37*U37*1.732*575),1)</f>
        <v>4.3</v>
      </c>
      <c r="J37" s="47">
        <v>36.8</v>
      </c>
      <c r="K37" s="47">
        <f>ROUND(A37*5250/F37,1)</f>
        <v>22.5</v>
      </c>
      <c r="L37" s="47">
        <f>ROUND(A37*5250*0.75/(B37-((B37-F37)*0.75)),1)</f>
        <v>16.8</v>
      </c>
      <c r="M37" s="44">
        <v>279</v>
      </c>
      <c r="N37" s="44">
        <v>376</v>
      </c>
      <c r="O37" s="47">
        <v>90.1</v>
      </c>
      <c r="P37" s="47">
        <f>A37*746/(A37*746+(AB37*1.2))*100</f>
        <v>88.35065699156696</v>
      </c>
      <c r="Q37" s="47">
        <v>89.7</v>
      </c>
      <c r="R37" s="47">
        <f>ROUND(A37*0.75*746/(A37*0.75*746+(AC37*1.2))*100,1)</f>
        <v>87.9</v>
      </c>
      <c r="S37" s="47">
        <v>87.4</v>
      </c>
      <c r="T37" s="47">
        <v>79.4</v>
      </c>
      <c r="U37" s="47">
        <v>72.7</v>
      </c>
      <c r="V37" s="47">
        <v>60.6</v>
      </c>
      <c r="W37" s="44">
        <v>48</v>
      </c>
      <c r="X37" s="44">
        <v>18</v>
      </c>
      <c r="Y37" s="44">
        <f>H37*13</f>
        <v>67.60000000000001</v>
      </c>
      <c r="Z37" s="46">
        <v>4.9</v>
      </c>
      <c r="AA37" s="44">
        <v>49</v>
      </c>
      <c r="AB37" s="43">
        <f>(A37*746-(O37/100*(A37*746)))/(O37/100)</f>
        <v>409.8446170921204</v>
      </c>
      <c r="AC37" s="43">
        <f>(A37*746*0.75-(Q37/100*(A37*0.75*746)))/(Q37/100)</f>
        <v>321.2290969899665</v>
      </c>
      <c r="AD37" s="43">
        <f>AE37+1</f>
        <v>20</v>
      </c>
      <c r="AE37" s="43">
        <v>19</v>
      </c>
      <c r="AF37" s="43">
        <v>37</v>
      </c>
      <c r="AG37" s="43">
        <v>305</v>
      </c>
      <c r="AH37" s="44">
        <f>AG37*$BB$1</f>
        <v>396.5</v>
      </c>
      <c r="AI37" s="43">
        <v>71</v>
      </c>
      <c r="AJ37" s="48">
        <f>$BB$1*0.735</f>
        <v>0.9555</v>
      </c>
      <c r="AK37" s="43">
        <v>153</v>
      </c>
      <c r="AL37" s="43" t="s">
        <v>108</v>
      </c>
      <c r="AM37" s="43">
        <v>32</v>
      </c>
      <c r="AN37" s="44">
        <v>41</v>
      </c>
      <c r="AO37" s="43" t="s">
        <v>109</v>
      </c>
      <c r="AP37" s="1">
        <v>10</v>
      </c>
      <c r="AQ37" s="1">
        <v>100</v>
      </c>
      <c r="AW37" s="43"/>
      <c r="BA37" s="49"/>
    </row>
    <row r="38" spans="1:53" ht="14.25">
      <c r="A38" s="47">
        <v>5</v>
      </c>
      <c r="B38" s="44">
        <v>1800</v>
      </c>
      <c r="C38" s="45" t="s">
        <v>116</v>
      </c>
      <c r="D38" s="45" t="s">
        <v>116</v>
      </c>
      <c r="E38" s="43" t="s">
        <v>115</v>
      </c>
      <c r="F38" s="43">
        <v>1737</v>
      </c>
      <c r="G38" s="46">
        <v>1.7</v>
      </c>
      <c r="H38" s="47">
        <f>ROUND(A38*746*10000/(O38*T38*1.732*575),1)</f>
        <v>4.9</v>
      </c>
      <c r="I38" s="47">
        <f>ROUND(A38*0.75*746*10000/(Q38*U38*1.732*575),1)</f>
        <v>3.7</v>
      </c>
      <c r="J38" s="47">
        <v>36.8</v>
      </c>
      <c r="K38" s="47">
        <f>ROUND(A38*5250/F38,1)</f>
        <v>15.1</v>
      </c>
      <c r="L38" s="47">
        <f>ROUND(A38*5250*0.75/(B38-((B38-F38)*0.75)),1)</f>
        <v>11.2</v>
      </c>
      <c r="M38" s="44">
        <v>265</v>
      </c>
      <c r="N38" s="44">
        <v>290</v>
      </c>
      <c r="O38" s="47">
        <v>88.4</v>
      </c>
      <c r="P38" s="47">
        <f>A38*746/(A38*746+(AB38*1.2))*100</f>
        <v>86.39562157935887</v>
      </c>
      <c r="Q38" s="47">
        <v>89.7</v>
      </c>
      <c r="R38" s="47">
        <f>ROUND(A38*0.75*746/(A38*0.75*746+(AC38*1.2))*100,1)</f>
        <v>87.9</v>
      </c>
      <c r="S38" s="47">
        <v>89.4</v>
      </c>
      <c r="T38" s="47">
        <v>86.7</v>
      </c>
      <c r="U38" s="47">
        <v>83.6</v>
      </c>
      <c r="V38" s="47">
        <v>75.5</v>
      </c>
      <c r="W38" s="44">
        <v>28</v>
      </c>
      <c r="X38" s="44">
        <v>13</v>
      </c>
      <c r="Y38" s="44">
        <f>H38*13</f>
        <v>63.7</v>
      </c>
      <c r="Z38" s="46">
        <v>1.7</v>
      </c>
      <c r="AA38" s="44">
        <v>55</v>
      </c>
      <c r="AB38" s="43">
        <f>(A38*746-(O38/100*(A38*746)))/(O38/100)</f>
        <v>489.45701357466044</v>
      </c>
      <c r="AC38" s="43">
        <f>(A38*746*0.75-(Q38/100*(A38*0.75*746)))/(Q38/100)</f>
        <v>321.2290969899665</v>
      </c>
      <c r="AD38" s="43">
        <f>AE38+1</f>
        <v>17</v>
      </c>
      <c r="AE38" s="43">
        <v>16</v>
      </c>
      <c r="AF38" s="43">
        <v>42</v>
      </c>
      <c r="AG38" s="43">
        <v>99</v>
      </c>
      <c r="AH38" s="44">
        <f>AG38*$BB$1</f>
        <v>128.70000000000002</v>
      </c>
      <c r="AI38" s="43">
        <v>27</v>
      </c>
      <c r="AJ38" s="48">
        <f>$BB$1*0.333</f>
        <v>0.43290000000000006</v>
      </c>
      <c r="AK38" s="43">
        <v>101</v>
      </c>
      <c r="AL38" s="43" t="s">
        <v>108</v>
      </c>
      <c r="AM38" s="43">
        <v>56</v>
      </c>
      <c r="AN38" s="44">
        <v>79</v>
      </c>
      <c r="AO38" s="43" t="s">
        <v>109</v>
      </c>
      <c r="AP38" s="1">
        <v>30</v>
      </c>
      <c r="AQ38" s="1">
        <v>90</v>
      </c>
      <c r="AW38" s="43"/>
      <c r="BA38" s="49"/>
    </row>
    <row r="39" spans="1:53" ht="14.25">
      <c r="A39" s="47">
        <v>5</v>
      </c>
      <c r="B39" s="44">
        <v>3600</v>
      </c>
      <c r="C39" s="45" t="s">
        <v>116</v>
      </c>
      <c r="D39" s="45" t="s">
        <v>116</v>
      </c>
      <c r="E39" s="43" t="s">
        <v>115</v>
      </c>
      <c r="F39" s="43">
        <v>3502</v>
      </c>
      <c r="G39" s="46">
        <v>1.2</v>
      </c>
      <c r="H39" s="47">
        <f>ROUND(A39*746*10000/(O39*T39*1.732*575),1)</f>
        <v>4.5</v>
      </c>
      <c r="I39" s="47">
        <f>ROUND(A39*0.75*746*10000/(Q39*U39*1.732*575),1)</f>
        <v>3.5</v>
      </c>
      <c r="J39" s="47">
        <v>36.8</v>
      </c>
      <c r="K39" s="47">
        <f>ROUND(A39*5250/F39,1)</f>
        <v>7.5</v>
      </c>
      <c r="L39" s="47">
        <f>ROUND(A39*5250*0.75/(B39-((B39-F39)*0.75)),1)</f>
        <v>5.6</v>
      </c>
      <c r="M39" s="44">
        <v>265</v>
      </c>
      <c r="N39" s="44">
        <v>357</v>
      </c>
      <c r="O39" s="47">
        <v>89</v>
      </c>
      <c r="P39" s="47">
        <f>A39*746/(A39*746+(AB39*1.2))*100</f>
        <v>87.08414872798434</v>
      </c>
      <c r="Q39" s="47">
        <v>89.1</v>
      </c>
      <c r="R39" s="47">
        <f>ROUND(A39*0.75*746/(A39*0.75*746+(AC39*1.2))*100,1)</f>
        <v>87.2</v>
      </c>
      <c r="S39" s="47">
        <v>87.7</v>
      </c>
      <c r="T39" s="47">
        <v>92.5</v>
      </c>
      <c r="U39" s="47">
        <v>90.4</v>
      </c>
      <c r="V39" s="47">
        <v>84.8</v>
      </c>
      <c r="W39" s="44">
        <v>24</v>
      </c>
      <c r="X39" s="44">
        <v>12</v>
      </c>
      <c r="Y39" s="44">
        <f>H39*13</f>
        <v>58.5</v>
      </c>
      <c r="Z39" s="46">
        <v>1.2</v>
      </c>
      <c r="AA39" s="44">
        <v>60</v>
      </c>
      <c r="AB39" s="43">
        <f>(A39*746-(O39/100*(A39*746)))/(O39/100)</f>
        <v>461.01123595505584</v>
      </c>
      <c r="AC39" s="43">
        <f>(A39*746*0.75-(Q39/100*(A39*0.75*746)))/(Q39/100)</f>
        <v>342.23063973064</v>
      </c>
      <c r="AD39" s="43">
        <f>AE39+1</f>
        <v>9</v>
      </c>
      <c r="AE39" s="43">
        <v>8</v>
      </c>
      <c r="AF39" s="43">
        <v>83</v>
      </c>
      <c r="AG39" s="43">
        <v>25.2</v>
      </c>
      <c r="AH39" s="47">
        <f>AG39*$BB$1</f>
        <v>32.76</v>
      </c>
      <c r="AI39" s="43">
        <v>5.7</v>
      </c>
      <c r="AJ39" s="48">
        <f>$BB$1*0.148</f>
        <v>0.1924</v>
      </c>
      <c r="AK39" s="43">
        <v>99</v>
      </c>
      <c r="AL39" s="43" t="s">
        <v>108</v>
      </c>
      <c r="AM39" s="43">
        <v>45</v>
      </c>
      <c r="AN39" s="44">
        <v>56</v>
      </c>
      <c r="AO39" s="43" t="s">
        <v>109</v>
      </c>
      <c r="AP39" s="1">
        <v>10</v>
      </c>
      <c r="AQ39" s="1">
        <v>100</v>
      </c>
      <c r="AW39" s="43"/>
      <c r="BA39" s="49"/>
    </row>
    <row r="40" spans="1:53" ht="14.25">
      <c r="A40" s="47"/>
      <c r="B40" s="43"/>
      <c r="C40" s="51"/>
      <c r="D40" s="51"/>
      <c r="E40" s="43"/>
      <c r="F40" s="43"/>
      <c r="G40" s="46"/>
      <c r="H40" s="43"/>
      <c r="I40" s="47"/>
      <c r="J40" s="47"/>
      <c r="K40" s="47"/>
      <c r="L40" s="47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6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W40" s="43"/>
      <c r="BA40" s="49"/>
    </row>
    <row r="41" spans="1:53" ht="14.25">
      <c r="A41" s="47">
        <v>7.5</v>
      </c>
      <c r="B41" s="44">
        <v>900</v>
      </c>
      <c r="C41" s="45" t="s">
        <v>122</v>
      </c>
      <c r="D41" s="45" t="s">
        <v>118</v>
      </c>
      <c r="E41" s="43" t="s">
        <v>124</v>
      </c>
      <c r="F41" s="43">
        <v>878</v>
      </c>
      <c r="G41" s="46">
        <v>5.1</v>
      </c>
      <c r="H41" s="47">
        <f>ROUND(A41*746*10000/(O41*T41*1.732*575),1)</f>
        <v>9.4</v>
      </c>
      <c r="I41" s="47">
        <f>ROUND(A41*0.75*746*10000/(Q41*U41*1.732*575),1)</f>
        <v>7.7</v>
      </c>
      <c r="J41" s="47">
        <v>47.2</v>
      </c>
      <c r="K41" s="47">
        <f>ROUND(A41*5250/F41,1)</f>
        <v>44.8</v>
      </c>
      <c r="L41" s="47">
        <f>ROUND(A41*5250*0.75/(B41-((B41-F41)*0.75)),1)</f>
        <v>33.4</v>
      </c>
      <c r="M41" s="44">
        <v>170</v>
      </c>
      <c r="N41" s="44">
        <v>244</v>
      </c>
      <c r="O41" s="47">
        <v>87.5</v>
      </c>
      <c r="P41" s="47">
        <f>A41*746/(A41*746+(AB41*1.2))*100</f>
        <v>85.36585365853658</v>
      </c>
      <c r="Q41" s="47">
        <v>88</v>
      </c>
      <c r="R41" s="47">
        <f>ROUND(A41*0.75*746/(A41*0.75*746+(AC41*1.2))*100,1)</f>
        <v>85.9</v>
      </c>
      <c r="S41" s="47">
        <v>87.3</v>
      </c>
      <c r="T41" s="47">
        <v>68.4</v>
      </c>
      <c r="U41" s="47">
        <v>61.9</v>
      </c>
      <c r="V41" s="47">
        <v>50.7</v>
      </c>
      <c r="W41" s="44">
        <v>37</v>
      </c>
      <c r="X41" s="44">
        <v>12</v>
      </c>
      <c r="Y41" s="44">
        <f>H41*13</f>
        <v>122.2</v>
      </c>
      <c r="Z41" s="46"/>
      <c r="AA41" s="44">
        <v>50</v>
      </c>
      <c r="AB41" s="43">
        <f>(A41*746-(O41/100*(A41*746)))/(O41/100)</f>
        <v>799.2857142857143</v>
      </c>
      <c r="AC41" s="43">
        <f>(A41*746*0.75-(Q41/100*(A41*0.75*746)))/(Q41/100)</f>
        <v>572.2159090909093</v>
      </c>
      <c r="AD41" s="43"/>
      <c r="AE41" s="43"/>
      <c r="AF41" s="43"/>
      <c r="AG41" s="43">
        <v>1050</v>
      </c>
      <c r="AH41" s="43">
        <f>AG41*1</f>
        <v>1050</v>
      </c>
      <c r="AI41" s="43">
        <v>208</v>
      </c>
      <c r="AJ41" s="43" t="s">
        <v>107</v>
      </c>
      <c r="AK41" s="43">
        <v>299</v>
      </c>
      <c r="AL41" s="43" t="s">
        <v>108</v>
      </c>
      <c r="AM41" s="43">
        <v>37</v>
      </c>
      <c r="AN41" s="44">
        <v>46</v>
      </c>
      <c r="AO41" s="43" t="s">
        <v>125</v>
      </c>
      <c r="AP41" s="1" t="s">
        <v>110</v>
      </c>
      <c r="AQ41" s="1" t="s">
        <v>110</v>
      </c>
      <c r="AW41" s="43"/>
      <c r="BA41" s="49"/>
    </row>
    <row r="42" spans="1:53" ht="14.25">
      <c r="A42" s="47">
        <v>7.5</v>
      </c>
      <c r="B42" s="44">
        <v>1200</v>
      </c>
      <c r="C42" s="45" t="s">
        <v>126</v>
      </c>
      <c r="D42" s="45" t="s">
        <v>121</v>
      </c>
      <c r="E42" s="43" t="s">
        <v>123</v>
      </c>
      <c r="F42" s="43">
        <v>1179</v>
      </c>
      <c r="G42" s="46">
        <v>3.6</v>
      </c>
      <c r="H42" s="47">
        <f>ROUND(A42*746*10000/(O42*T42*1.732*575),1)</f>
        <v>7.8</v>
      </c>
      <c r="I42" s="47">
        <f>ROUND(A42*0.75*746*10000/(Q42*U42*1.732*575),1)</f>
        <v>6.3</v>
      </c>
      <c r="J42" s="47">
        <v>50.8</v>
      </c>
      <c r="K42" s="47">
        <f>ROUND(A42*5250/F42,1)</f>
        <v>33.4</v>
      </c>
      <c r="L42" s="47">
        <f>ROUND(A42*5250*0.75/(B42-((B42-F42)*0.75)),1)</f>
        <v>24.9</v>
      </c>
      <c r="M42" s="44">
        <v>218</v>
      </c>
      <c r="N42" s="44">
        <v>340</v>
      </c>
      <c r="O42" s="47">
        <v>92</v>
      </c>
      <c r="P42" s="47">
        <f>A42*746/(A42*746+(AB42*1.2))*100</f>
        <v>90.55118110236221</v>
      </c>
      <c r="Q42" s="47">
        <v>91.8</v>
      </c>
      <c r="R42" s="47">
        <f>ROUND(A42*0.75*746/(A42*0.75*746+(AC42*1.1))*100,1)</f>
        <v>91.1</v>
      </c>
      <c r="S42" s="47">
        <v>90.6</v>
      </c>
      <c r="T42" s="47">
        <v>78.6</v>
      </c>
      <c r="U42" s="47">
        <v>73.2</v>
      </c>
      <c r="V42" s="47">
        <v>62.7</v>
      </c>
      <c r="W42" s="44">
        <v>48</v>
      </c>
      <c r="X42" s="44">
        <v>20</v>
      </c>
      <c r="Y42" s="44">
        <f>H42*13</f>
        <v>101.39999999999999</v>
      </c>
      <c r="Z42" s="46">
        <v>3.5</v>
      </c>
      <c r="AA42" s="44">
        <v>51</v>
      </c>
      <c r="AB42" s="43">
        <f>(A42*746-(O42/100*(A42*746)))/(O42/100)</f>
        <v>486.5217391304342</v>
      </c>
      <c r="AC42" s="43">
        <f>(A42*746*0.75-(Q42/100*(A42*0.75*746)))/(Q42/100)</f>
        <v>374.8284313725493</v>
      </c>
      <c r="AD42" s="43">
        <f>AE42+1</f>
        <v>17</v>
      </c>
      <c r="AE42" s="43">
        <v>16</v>
      </c>
      <c r="AF42" s="43">
        <v>39</v>
      </c>
      <c r="AG42" s="43">
        <v>640</v>
      </c>
      <c r="AH42" s="43">
        <f>AG42*$BB$1</f>
        <v>832</v>
      </c>
      <c r="AI42" s="43">
        <v>104</v>
      </c>
      <c r="AJ42" s="52">
        <f>$BB$1*1.78</f>
        <v>2.314</v>
      </c>
      <c r="AK42" s="43">
        <v>222</v>
      </c>
      <c r="AL42" s="43" t="s">
        <v>108</v>
      </c>
      <c r="AM42" s="43">
        <v>31</v>
      </c>
      <c r="AN42" s="44">
        <v>38</v>
      </c>
      <c r="AO42" s="43" t="s">
        <v>125</v>
      </c>
      <c r="AP42" s="1">
        <v>10</v>
      </c>
      <c r="AQ42" s="1">
        <v>100</v>
      </c>
      <c r="AW42" s="43"/>
      <c r="BA42" s="49"/>
    </row>
    <row r="43" spans="1:53" ht="14.25">
      <c r="A43" s="47">
        <v>7.5</v>
      </c>
      <c r="B43" s="44">
        <v>1800</v>
      </c>
      <c r="C43" s="45" t="s">
        <v>121</v>
      </c>
      <c r="D43" s="45" t="s">
        <v>121</v>
      </c>
      <c r="E43" s="43" t="s">
        <v>119</v>
      </c>
      <c r="F43" s="43">
        <v>1752</v>
      </c>
      <c r="G43" s="46">
        <v>2.9</v>
      </c>
      <c r="H43" s="47">
        <f>ROUND(A43*746*10000/(O43*T43*1.732*575),1)</f>
        <v>7.4</v>
      </c>
      <c r="I43" s="47">
        <f>ROUND(A43*0.75*746*10000/(Q43*U43*1.732*575),1)</f>
        <v>5.8</v>
      </c>
      <c r="J43" s="47">
        <v>50.8</v>
      </c>
      <c r="K43" s="47">
        <f>ROUND(A43*5250/F43,1)</f>
        <v>22.5</v>
      </c>
      <c r="L43" s="47">
        <f>ROUND(A43*5250*0.75/(B43-((B43-F43)*0.75)),1)</f>
        <v>16.7</v>
      </c>
      <c r="M43" s="44">
        <v>280</v>
      </c>
      <c r="N43" s="44">
        <v>290</v>
      </c>
      <c r="O43" s="47">
        <v>90.9</v>
      </c>
      <c r="P43" s="47">
        <f>A43*746/(A43*746+(AB43*1.2))*100</f>
        <v>89.27519151443725</v>
      </c>
      <c r="Q43" s="47">
        <v>91.2</v>
      </c>
      <c r="R43" s="47">
        <f>ROUND(A43*0.75*746/(A43*0.75*746+(AC43*1.1))*100,1)</f>
        <v>90.4</v>
      </c>
      <c r="S43" s="47">
        <v>90.3</v>
      </c>
      <c r="T43" s="47">
        <v>84</v>
      </c>
      <c r="U43" s="47">
        <v>79</v>
      </c>
      <c r="V43" s="47">
        <v>69</v>
      </c>
      <c r="W43" s="44">
        <v>24</v>
      </c>
      <c r="X43" s="44">
        <v>12</v>
      </c>
      <c r="Y43" s="44">
        <f>H43*13</f>
        <v>96.2</v>
      </c>
      <c r="Z43" s="46">
        <v>2.8</v>
      </c>
      <c r="AA43" s="44">
        <v>57</v>
      </c>
      <c r="AB43" s="43">
        <f>(A43*746-(O43/100*(A43*746)))/(O43/100)</f>
        <v>560.1155115511546</v>
      </c>
      <c r="AC43" s="43">
        <f>(A43*746*0.75-(Q43/100*(A43*0.75*746)))/(Q43/100)</f>
        <v>404.90131578947364</v>
      </c>
      <c r="AD43" s="43">
        <f>AE43+1</f>
        <v>15</v>
      </c>
      <c r="AE43" s="43">
        <v>14</v>
      </c>
      <c r="AF43" s="43">
        <v>44</v>
      </c>
      <c r="AG43" s="43">
        <v>155</v>
      </c>
      <c r="AH43" s="44">
        <f>AG43*$BB$1</f>
        <v>201.5</v>
      </c>
      <c r="AI43" s="43">
        <v>39</v>
      </c>
      <c r="AJ43" s="52">
        <f>$BB$1*0.785</f>
        <v>1.0205000000000002</v>
      </c>
      <c r="AK43" s="43">
        <v>153</v>
      </c>
      <c r="AL43" s="43" t="s">
        <v>108</v>
      </c>
      <c r="AM43" s="43">
        <v>43</v>
      </c>
      <c r="AN43" s="44">
        <v>60</v>
      </c>
      <c r="AO43" s="43" t="s">
        <v>125</v>
      </c>
      <c r="AP43" s="1">
        <v>20</v>
      </c>
      <c r="AQ43" s="1">
        <v>90</v>
      </c>
      <c r="AW43" s="43"/>
      <c r="BA43" s="49"/>
    </row>
    <row r="44" spans="1:53" ht="14.25">
      <c r="A44" s="47">
        <v>7.5</v>
      </c>
      <c r="B44" s="44">
        <v>3600</v>
      </c>
      <c r="C44" s="45" t="s">
        <v>121</v>
      </c>
      <c r="D44" s="45" t="s">
        <v>127</v>
      </c>
      <c r="E44" s="43" t="s">
        <v>119</v>
      </c>
      <c r="F44" s="43">
        <v>3515</v>
      </c>
      <c r="G44" s="46">
        <v>2</v>
      </c>
      <c r="H44" s="47">
        <f>ROUND(A44*746*10000/(O44*T44*1.732*575),1)</f>
        <v>7</v>
      </c>
      <c r="I44" s="47">
        <f>ROUND(A44*0.75*746*10000/(Q44*U44*1.732*575),1)</f>
        <v>5.4</v>
      </c>
      <c r="J44" s="47">
        <v>50.8</v>
      </c>
      <c r="K44" s="47">
        <f>ROUND(A44*5250/F44,1)</f>
        <v>11.2</v>
      </c>
      <c r="L44" s="47">
        <f>ROUND(A44*5250*0.75/(B44-((B44-F44)*0.75)),1)</f>
        <v>8.4</v>
      </c>
      <c r="M44" s="44">
        <v>213</v>
      </c>
      <c r="N44" s="44">
        <v>310</v>
      </c>
      <c r="O44" s="47">
        <v>90.5</v>
      </c>
      <c r="P44" s="47">
        <f>A44*746/(A44*746+(AB44*1.2))*100</f>
        <v>88.81256133464181</v>
      </c>
      <c r="Q44" s="47">
        <v>90.3</v>
      </c>
      <c r="R44" s="47">
        <f>ROUND(A44*0.75*746/(A44*0.75*746+(AC44*1.1))*100,1)</f>
        <v>89.4</v>
      </c>
      <c r="S44" s="47">
        <v>89</v>
      </c>
      <c r="T44" s="47">
        <v>88.5</v>
      </c>
      <c r="U44" s="47">
        <v>85.8</v>
      </c>
      <c r="V44" s="47">
        <v>79</v>
      </c>
      <c r="W44" s="44">
        <v>24</v>
      </c>
      <c r="X44" s="44">
        <v>12</v>
      </c>
      <c r="Y44" s="44">
        <f>H44*13</f>
        <v>91</v>
      </c>
      <c r="Z44" s="46">
        <v>2</v>
      </c>
      <c r="AA44" s="44">
        <v>62</v>
      </c>
      <c r="AB44" s="43">
        <f>(A44*746-(O44/100*(A44*746)))/(O44/100)</f>
        <v>587.3204419889498</v>
      </c>
      <c r="AC44" s="43">
        <f>(A44*746*0.75-(Q44/100*(A44*0.75*746)))/(Q44/100)</f>
        <v>450.75996677740875</v>
      </c>
      <c r="AD44" s="43">
        <f>AE44+1</f>
        <v>8</v>
      </c>
      <c r="AE44" s="43">
        <v>7</v>
      </c>
      <c r="AF44" s="43">
        <v>88</v>
      </c>
      <c r="AG44" s="43">
        <v>29.6</v>
      </c>
      <c r="AH44" s="47">
        <f>AG44*$BB$1</f>
        <v>38.480000000000004</v>
      </c>
      <c r="AI44" s="43">
        <v>8.3</v>
      </c>
      <c r="AJ44" s="48">
        <f>$BB$1*0.393</f>
        <v>0.5109</v>
      </c>
      <c r="AK44" s="43">
        <v>165</v>
      </c>
      <c r="AL44" s="43" t="s">
        <v>108</v>
      </c>
      <c r="AM44" s="43">
        <v>48</v>
      </c>
      <c r="AN44" s="44">
        <v>60</v>
      </c>
      <c r="AO44" s="43" t="s">
        <v>125</v>
      </c>
      <c r="AP44" s="1">
        <v>10</v>
      </c>
      <c r="AQ44" s="1">
        <v>100</v>
      </c>
      <c r="AW44" s="43"/>
      <c r="BA44" s="49"/>
    </row>
    <row r="45" spans="1:53" ht="14.25">
      <c r="A45" s="43"/>
      <c r="B45" s="43"/>
      <c r="C45" s="51"/>
      <c r="D45" s="51"/>
      <c r="E45" s="43"/>
      <c r="F45" s="43"/>
      <c r="G45" s="46"/>
      <c r="H45" s="43"/>
      <c r="I45" s="47"/>
      <c r="J45" s="47"/>
      <c r="K45" s="47"/>
      <c r="L45" s="47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6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W45" s="43"/>
      <c r="BA45" s="49"/>
    </row>
    <row r="46" spans="1:53" ht="14.25">
      <c r="A46" s="44">
        <v>10</v>
      </c>
      <c r="B46" s="44">
        <v>900</v>
      </c>
      <c r="C46" s="45" t="s">
        <v>128</v>
      </c>
      <c r="D46" s="45" t="s">
        <v>129</v>
      </c>
      <c r="E46" s="43" t="s">
        <v>130</v>
      </c>
      <c r="F46" s="43">
        <v>879</v>
      </c>
      <c r="G46" s="46">
        <v>6.6</v>
      </c>
      <c r="H46" s="47">
        <f>ROUND(A46*746*10000/(O46*T46*1.732*575),1)</f>
        <v>12.2</v>
      </c>
      <c r="I46" s="47">
        <f>ROUND(A46*0.75*746*10000/(Q46*U46*1.732*575),1)</f>
        <v>10.1</v>
      </c>
      <c r="J46" s="47">
        <v>64</v>
      </c>
      <c r="K46" s="47">
        <f>ROUND(A46*5250/F46,1)</f>
        <v>59.7</v>
      </c>
      <c r="L46" s="47">
        <f>ROUND(A46*5250*0.75/(B46-((B46-F46)*0.75)),1)</f>
        <v>44.5</v>
      </c>
      <c r="M46" s="44">
        <v>205</v>
      </c>
      <c r="N46" s="44">
        <v>244</v>
      </c>
      <c r="O46" s="47">
        <v>88.5</v>
      </c>
      <c r="P46" s="47">
        <f>A46*746/(A46*746+(AB46*1.2))*100</f>
        <v>86.51026392961879</v>
      </c>
      <c r="Q46" s="47">
        <v>89.1</v>
      </c>
      <c r="R46" s="47">
        <f>ROUND(A46*0.75*746/(A46*0.75*746+(AC46*1.2))*100,1)</f>
        <v>87.2</v>
      </c>
      <c r="S46" s="47">
        <v>87.5</v>
      </c>
      <c r="T46" s="47">
        <v>69.2</v>
      </c>
      <c r="U46" s="47">
        <v>62.5</v>
      </c>
      <c r="V46" s="47">
        <v>51.1</v>
      </c>
      <c r="W46" s="44">
        <v>35</v>
      </c>
      <c r="X46" s="44">
        <v>11</v>
      </c>
      <c r="Y46" s="44">
        <f>H46*13</f>
        <v>158.6</v>
      </c>
      <c r="Z46" s="46"/>
      <c r="AA46" s="44">
        <v>50</v>
      </c>
      <c r="AB46" s="43">
        <f>(A46*746-(O46/100*(A46*746)))/(O46/100)</f>
        <v>969.3785310734459</v>
      </c>
      <c r="AC46" s="43">
        <f>(A46*746*0.75-(Q46/100*(A46*0.75*746)))/(Q46/100)</f>
        <v>684.46127946128</v>
      </c>
      <c r="AD46" s="43"/>
      <c r="AE46" s="43"/>
      <c r="AF46" s="43"/>
      <c r="AG46" s="43">
        <v>1700</v>
      </c>
      <c r="AH46" s="43">
        <f>AG46*1</f>
        <v>1700</v>
      </c>
      <c r="AI46" s="43">
        <v>273</v>
      </c>
      <c r="AJ46" s="43" t="s">
        <v>107</v>
      </c>
      <c r="AK46" s="43">
        <v>416</v>
      </c>
      <c r="AL46" s="43" t="s">
        <v>108</v>
      </c>
      <c r="AM46" s="43">
        <v>32</v>
      </c>
      <c r="AN46" s="44">
        <v>39</v>
      </c>
      <c r="AO46" s="43" t="s">
        <v>125</v>
      </c>
      <c r="AP46" s="1" t="s">
        <v>110</v>
      </c>
      <c r="AQ46" s="1" t="s">
        <v>110</v>
      </c>
      <c r="AW46" s="43"/>
      <c r="BA46" s="49"/>
    </row>
    <row r="47" spans="1:53" ht="14.25">
      <c r="A47" s="44">
        <v>10</v>
      </c>
      <c r="B47" s="44">
        <v>1200</v>
      </c>
      <c r="C47" s="45" t="s">
        <v>126</v>
      </c>
      <c r="D47" s="45" t="s">
        <v>121</v>
      </c>
      <c r="E47" s="43" t="s">
        <v>124</v>
      </c>
      <c r="F47" s="43">
        <v>1176</v>
      </c>
      <c r="G47" s="46">
        <v>4.2</v>
      </c>
      <c r="H47" s="47">
        <f>ROUND(A47*746*10000/(O47*T47*1.732*575),1)</f>
        <v>10.2</v>
      </c>
      <c r="I47" s="47">
        <f>ROUND(A47*0.75*746*10000/(Q47*U47*1.732*575),1)</f>
        <v>8.1</v>
      </c>
      <c r="J47" s="47">
        <v>64.8</v>
      </c>
      <c r="K47" s="47">
        <f>ROUND(A47*5250/F47,1)</f>
        <v>44.6</v>
      </c>
      <c r="L47" s="47">
        <f>ROUND(A47*5250*0.75/(B47-((B47-F47)*0.75)),1)</f>
        <v>33.3</v>
      </c>
      <c r="M47" s="44">
        <v>234</v>
      </c>
      <c r="N47" s="44">
        <v>283</v>
      </c>
      <c r="O47" s="47">
        <v>92.5</v>
      </c>
      <c r="P47" s="47">
        <f>A47*746/(A47*746+(AB47*1.2))*100</f>
        <v>91.13300492610837</v>
      </c>
      <c r="Q47" s="47">
        <v>92.8</v>
      </c>
      <c r="R47" s="47">
        <f>ROUND(A47*0.75*746/(A47*0.75*746+(AC47*1.1))*100,1)</f>
        <v>92.1</v>
      </c>
      <c r="S47" s="47">
        <v>92</v>
      </c>
      <c r="T47" s="47">
        <v>79.2</v>
      </c>
      <c r="U47" s="47">
        <v>74.7</v>
      </c>
      <c r="V47" s="47">
        <v>64.8</v>
      </c>
      <c r="W47" s="44">
        <v>48</v>
      </c>
      <c r="X47" s="44">
        <v>18</v>
      </c>
      <c r="Y47" s="44">
        <f>H47*13</f>
        <v>132.6</v>
      </c>
      <c r="Z47" s="46">
        <v>4.1</v>
      </c>
      <c r="AA47" s="44">
        <v>52</v>
      </c>
      <c r="AB47" s="43">
        <f>(A47*746-(O47/100*(A47*746)))/(O47/100)</f>
        <v>604.8648648648648</v>
      </c>
      <c r="AC47" s="43">
        <f>(A47*746*0.75-(Q47/100*(A47*0.75*746)))/(Q47/100)</f>
        <v>434.0948275862071</v>
      </c>
      <c r="AD47" s="43">
        <f>AE47+1</f>
        <v>16</v>
      </c>
      <c r="AE47" s="43">
        <v>15</v>
      </c>
      <c r="AF47" s="43">
        <v>41</v>
      </c>
      <c r="AG47" s="43">
        <v>675</v>
      </c>
      <c r="AH47" s="44">
        <f>AG47*$BB$1</f>
        <v>877.5</v>
      </c>
      <c r="AI47" s="43">
        <v>137</v>
      </c>
      <c r="AJ47" s="52">
        <f>$BB$1*2.01</f>
        <v>2.6130000000000004</v>
      </c>
      <c r="AK47" s="43">
        <v>251</v>
      </c>
      <c r="AL47" s="43" t="s">
        <v>108</v>
      </c>
      <c r="AM47" s="43">
        <v>38</v>
      </c>
      <c r="AN47" s="44">
        <v>49</v>
      </c>
      <c r="AO47" s="43" t="s">
        <v>125</v>
      </c>
      <c r="AP47" s="1">
        <v>10</v>
      </c>
      <c r="AQ47" s="1">
        <v>100</v>
      </c>
      <c r="AW47" s="43"/>
      <c r="BA47" s="49"/>
    </row>
    <row r="48" spans="1:53" ht="14.25">
      <c r="A48" s="44">
        <v>10</v>
      </c>
      <c r="B48" s="44">
        <v>1800</v>
      </c>
      <c r="C48" s="45" t="s">
        <v>121</v>
      </c>
      <c r="D48" s="45" t="s">
        <v>121</v>
      </c>
      <c r="E48" s="43" t="s">
        <v>120</v>
      </c>
      <c r="F48" s="43">
        <v>1746</v>
      </c>
      <c r="G48" s="46">
        <v>3.2</v>
      </c>
      <c r="H48" s="47">
        <f>ROUND(A48*746*10000/(O48*T48*1.732*575),1)</f>
        <v>9.5</v>
      </c>
      <c r="I48" s="47">
        <f>ROUND(A48*0.75*746*10000/(Q48*U48*1.732*575),1)</f>
        <v>7.5</v>
      </c>
      <c r="J48" s="47">
        <v>64.8</v>
      </c>
      <c r="K48" s="47">
        <f>ROUND(A48*5250/F48,1)</f>
        <v>30.1</v>
      </c>
      <c r="L48" s="47">
        <f>ROUND(A48*5250*0.75/(B48-((B48-F48)*0.75)),1)</f>
        <v>22.4</v>
      </c>
      <c r="M48" s="44">
        <v>290</v>
      </c>
      <c r="N48" s="44">
        <v>295</v>
      </c>
      <c r="O48" s="47">
        <v>90.9</v>
      </c>
      <c r="P48" s="47">
        <f>A48*746/(A48*746+(AB48*1.2))*100</f>
        <v>89.27519151443725</v>
      </c>
      <c r="Q48" s="47">
        <v>91.3</v>
      </c>
      <c r="R48" s="47">
        <f>ROUND(A48*0.75*746/(A48*0.75*746+(AC48*1.1))*100,1)</f>
        <v>90.5</v>
      </c>
      <c r="S48" s="47">
        <v>90.4</v>
      </c>
      <c r="T48" s="47">
        <v>86.5</v>
      </c>
      <c r="U48" s="47">
        <v>82</v>
      </c>
      <c r="V48" s="47">
        <v>73</v>
      </c>
      <c r="W48" s="44">
        <v>22</v>
      </c>
      <c r="X48" s="44">
        <v>10</v>
      </c>
      <c r="Y48" s="44">
        <f>H48*13</f>
        <v>123.5</v>
      </c>
      <c r="Z48" s="46">
        <v>3.2</v>
      </c>
      <c r="AA48" s="44">
        <v>55</v>
      </c>
      <c r="AB48" s="43">
        <f>(A48*746-(O48/100*(A48*746)))/(O48/100)</f>
        <v>746.8206820682065</v>
      </c>
      <c r="AC48" s="43">
        <f>(A48*746*0.75-(Q48/100*(A48*0.75*746)))/(Q48/100)</f>
        <v>533.1489594742611</v>
      </c>
      <c r="AD48" s="43">
        <f>AE48+1</f>
        <v>14</v>
      </c>
      <c r="AE48" s="43">
        <v>13</v>
      </c>
      <c r="AF48" s="43">
        <v>46</v>
      </c>
      <c r="AG48" s="43">
        <v>163</v>
      </c>
      <c r="AH48" s="44">
        <f>AG48*$BB$1</f>
        <v>211.9</v>
      </c>
      <c r="AI48" s="43">
        <v>51</v>
      </c>
      <c r="AJ48" s="52">
        <f>$BB$1*0.875</f>
        <v>1.1375</v>
      </c>
      <c r="AK48" s="43">
        <v>168</v>
      </c>
      <c r="AL48" s="43" t="s">
        <v>108</v>
      </c>
      <c r="AM48" s="43">
        <v>47</v>
      </c>
      <c r="AN48" s="44">
        <v>64</v>
      </c>
      <c r="AO48" s="43" t="s">
        <v>125</v>
      </c>
      <c r="AP48" s="1">
        <v>20</v>
      </c>
      <c r="AQ48" s="1">
        <v>90</v>
      </c>
      <c r="AW48" s="43"/>
      <c r="BA48" s="49"/>
    </row>
    <row r="49" spans="1:53" ht="14.25">
      <c r="A49" s="44">
        <v>10</v>
      </c>
      <c r="B49" s="44">
        <v>3600</v>
      </c>
      <c r="C49" s="45" t="s">
        <v>121</v>
      </c>
      <c r="D49" s="45" t="s">
        <v>121</v>
      </c>
      <c r="E49" s="43" t="s">
        <v>120</v>
      </c>
      <c r="F49" s="43">
        <v>3510</v>
      </c>
      <c r="G49" s="46">
        <v>2.3</v>
      </c>
      <c r="H49" s="47">
        <f>ROUND(A49*746*10000/(O49*T49*1.732*575),1)</f>
        <v>9.2</v>
      </c>
      <c r="I49" s="47">
        <f>ROUND(A49*0.75*746*10000/(Q49*U49*1.732*575),1)</f>
        <v>7.1</v>
      </c>
      <c r="J49" s="47">
        <v>64.8</v>
      </c>
      <c r="K49" s="47">
        <f>ROUND(A49*5250/F49,1)</f>
        <v>15</v>
      </c>
      <c r="L49" s="47">
        <f>ROUND(A49*5250*0.75/(B49-((B49-F49)*0.75)),1)</f>
        <v>11.1</v>
      </c>
      <c r="M49" s="44">
        <v>212</v>
      </c>
      <c r="N49" s="44">
        <v>300</v>
      </c>
      <c r="O49" s="47">
        <v>90.3</v>
      </c>
      <c r="P49" s="47">
        <f>A49*746/(A49*746+(AB49*1.2))*100</f>
        <v>88.58151854031784</v>
      </c>
      <c r="Q49" s="47">
        <v>90</v>
      </c>
      <c r="R49" s="47">
        <f>ROUND(A49*0.75*746/(A49*0.75*746+(AC49*1.1))*100,1)</f>
        <v>89.1</v>
      </c>
      <c r="S49" s="47">
        <v>88</v>
      </c>
      <c r="T49" s="47">
        <v>89.7</v>
      </c>
      <c r="U49" s="47">
        <v>87.6</v>
      </c>
      <c r="V49" s="47">
        <v>81.7</v>
      </c>
      <c r="W49" s="44">
        <v>22</v>
      </c>
      <c r="X49" s="44">
        <v>10</v>
      </c>
      <c r="Y49" s="44">
        <f>H49*13</f>
        <v>119.6</v>
      </c>
      <c r="Z49" s="46">
        <v>2.3</v>
      </c>
      <c r="AA49" s="44">
        <v>62</v>
      </c>
      <c r="AB49" s="43">
        <f>(A49*746-(O49/100*(A49*746)))/(O49/100)</f>
        <v>801.3510520487263</v>
      </c>
      <c r="AC49" s="43">
        <f>(A49*746*0.75-(Q49/100*(A49*0.75*746)))/(Q49/100)</f>
        <v>621.6666666666666</v>
      </c>
      <c r="AD49" s="43">
        <f>AE49+1</f>
        <v>7</v>
      </c>
      <c r="AE49" s="43">
        <v>6</v>
      </c>
      <c r="AF49" s="43">
        <v>92</v>
      </c>
      <c r="AG49" s="43">
        <v>37.5</v>
      </c>
      <c r="AH49" s="47">
        <f>AG49*$BB$1</f>
        <v>48.75</v>
      </c>
      <c r="AI49" s="43">
        <v>11</v>
      </c>
      <c r="AJ49" s="48">
        <f>$BB$1*0.542</f>
        <v>0.7046000000000001</v>
      </c>
      <c r="AK49" s="43">
        <v>196</v>
      </c>
      <c r="AL49" s="43" t="s">
        <v>108</v>
      </c>
      <c r="AM49" s="43">
        <v>59</v>
      </c>
      <c r="AN49" s="44">
        <v>74</v>
      </c>
      <c r="AO49" s="43" t="s">
        <v>125</v>
      </c>
      <c r="AP49" s="1">
        <v>60</v>
      </c>
      <c r="AQ49" s="1">
        <v>80</v>
      </c>
      <c r="AW49" s="43"/>
      <c r="BA49" s="49"/>
    </row>
    <row r="50" spans="1:53" ht="14.25">
      <c r="A50" s="44"/>
      <c r="B50" s="43"/>
      <c r="C50" s="51"/>
      <c r="D50" s="51"/>
      <c r="E50" s="43"/>
      <c r="F50" s="43"/>
      <c r="G50" s="46"/>
      <c r="H50" s="47"/>
      <c r="I50" s="47"/>
      <c r="J50" s="47"/>
      <c r="K50" s="47"/>
      <c r="L50" s="47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6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W50" s="43"/>
      <c r="BA50" s="49"/>
    </row>
    <row r="51" spans="1:53" ht="14.25">
      <c r="A51" s="44">
        <v>15</v>
      </c>
      <c r="B51" s="44">
        <v>900</v>
      </c>
      <c r="C51" s="45" t="s">
        <v>128</v>
      </c>
      <c r="D51" s="45" t="s">
        <v>129</v>
      </c>
      <c r="E51" s="43" t="s">
        <v>131</v>
      </c>
      <c r="F51" s="43">
        <v>877</v>
      </c>
      <c r="G51" s="46">
        <v>9.6</v>
      </c>
      <c r="H51" s="47">
        <f>ROUND(A51*746*10000/(O51*T51*1.732*575),1)</f>
        <v>17.9</v>
      </c>
      <c r="I51" s="47">
        <f>ROUND(A51*0.75*746*10000/(Q51*U51*1.732*575),1)</f>
        <v>14.8</v>
      </c>
      <c r="J51" s="47">
        <v>79.2</v>
      </c>
      <c r="K51" s="47">
        <f>ROUND(A51*5250/F51,1)</f>
        <v>89.8</v>
      </c>
      <c r="L51" s="47">
        <f>ROUND(A51*5250*0.75/(B51-((B51-F51)*0.75)),1)</f>
        <v>66.9</v>
      </c>
      <c r="M51" s="44">
        <v>214</v>
      </c>
      <c r="N51" s="44">
        <v>226</v>
      </c>
      <c r="O51" s="47">
        <v>89.5</v>
      </c>
      <c r="P51" s="47">
        <f>A51*746/(A51*746+(AB51*1.1))*100</f>
        <v>88.57001484413657</v>
      </c>
      <c r="Q51" s="47">
        <v>89.3</v>
      </c>
      <c r="R51" s="47">
        <f>ROUND(A51*0.75*746/(A51*0.75*746+(AC51*1.2))*100,1)</f>
        <v>87.4</v>
      </c>
      <c r="S51" s="47">
        <v>87.9</v>
      </c>
      <c r="T51" s="47">
        <v>70</v>
      </c>
      <c r="U51" s="47">
        <v>63.6</v>
      </c>
      <c r="V51" s="47">
        <v>52.6</v>
      </c>
      <c r="W51" s="44">
        <v>39</v>
      </c>
      <c r="X51" s="44">
        <v>14</v>
      </c>
      <c r="Y51" s="44">
        <f>H51*13</f>
        <v>232.7</v>
      </c>
      <c r="Z51" s="46"/>
      <c r="AA51" s="44">
        <v>55</v>
      </c>
      <c r="AB51" s="43">
        <f>(A51*746-(O51/100*(A51*746)))/(O51/100)</f>
        <v>1312.7932960893843</v>
      </c>
      <c r="AC51" s="43">
        <f>(A51*746*0.75-(Q51/100*(A51*0.75*746)))/(Q51/100)</f>
        <v>1005.5963045912648</v>
      </c>
      <c r="AD51" s="43"/>
      <c r="AE51" s="43"/>
      <c r="AF51" s="43"/>
      <c r="AG51" s="43">
        <v>1880</v>
      </c>
      <c r="AH51" s="43">
        <f>AG51*1</f>
        <v>1880</v>
      </c>
      <c r="AI51" s="43">
        <v>400</v>
      </c>
      <c r="AJ51" s="43" t="s">
        <v>107</v>
      </c>
      <c r="AK51" s="43">
        <v>404</v>
      </c>
      <c r="AL51" s="43" t="s">
        <v>108</v>
      </c>
      <c r="AM51" s="43">
        <v>47</v>
      </c>
      <c r="AN51" s="44">
        <v>61</v>
      </c>
      <c r="AO51" s="43" t="s">
        <v>125</v>
      </c>
      <c r="AP51" s="1" t="s">
        <v>110</v>
      </c>
      <c r="AQ51" s="1" t="s">
        <v>110</v>
      </c>
      <c r="AW51" s="43"/>
      <c r="BA51" s="49"/>
    </row>
    <row r="52" spans="1:53" ht="14.25">
      <c r="A52" s="44">
        <v>15</v>
      </c>
      <c r="B52" s="44">
        <v>1200</v>
      </c>
      <c r="C52" s="45" t="s">
        <v>128</v>
      </c>
      <c r="D52" s="45" t="s">
        <v>128</v>
      </c>
      <c r="E52" s="43" t="s">
        <v>130</v>
      </c>
      <c r="F52" s="43">
        <v>1173</v>
      </c>
      <c r="G52" s="46">
        <v>5.7</v>
      </c>
      <c r="H52" s="47">
        <f>ROUND(A52*746*10000/(O52*T52*1.732*575),1)</f>
        <v>14.8</v>
      </c>
      <c r="I52" s="47">
        <f>ROUND(A52*0.75*746*10000/(Q52*U52*1.732*575),1)</f>
        <v>11.7</v>
      </c>
      <c r="J52" s="47">
        <v>92.8</v>
      </c>
      <c r="K52" s="47">
        <f>ROUND(A52*5250/F52,1)</f>
        <v>67.1</v>
      </c>
      <c r="L52" s="47">
        <f>ROUND(A52*5250*0.75/(B52-((B52-F52)*0.75)),1)</f>
        <v>50.1</v>
      </c>
      <c r="M52" s="44">
        <v>208</v>
      </c>
      <c r="N52" s="44">
        <v>277</v>
      </c>
      <c r="O52" s="47">
        <v>92.3</v>
      </c>
      <c r="P52" s="47">
        <f>A52*746/(A52*746+(AB52*1.1))*100</f>
        <v>91.59472065098738</v>
      </c>
      <c r="Q52" s="47">
        <v>92.5</v>
      </c>
      <c r="R52" s="47">
        <f>ROUND(A52*0.75*746/(A52*0.75*746+(AC52*1.1))*100,1)</f>
        <v>91.8</v>
      </c>
      <c r="S52" s="47">
        <v>92</v>
      </c>
      <c r="T52" s="47">
        <v>82</v>
      </c>
      <c r="U52" s="47">
        <v>77.7</v>
      </c>
      <c r="V52" s="47">
        <v>68.3</v>
      </c>
      <c r="W52" s="44">
        <v>45</v>
      </c>
      <c r="X52" s="44">
        <v>18</v>
      </c>
      <c r="Y52" s="44">
        <f>H52*13</f>
        <v>192.4</v>
      </c>
      <c r="Z52" s="46">
        <v>5.6</v>
      </c>
      <c r="AA52" s="44">
        <v>59</v>
      </c>
      <c r="AB52" s="43">
        <f>(A52*746-(O52/100*(A52*746)))/(O52/100)</f>
        <v>933.5102925243782</v>
      </c>
      <c r="AC52" s="43">
        <f>(A52*746*0.75-(Q52/100*(A52*0.75*746)))/(Q52/100)</f>
        <v>680.4729729729729</v>
      </c>
      <c r="AD52" s="43">
        <f>AE52+1</f>
        <v>13</v>
      </c>
      <c r="AE52" s="43">
        <v>12</v>
      </c>
      <c r="AF52" s="43">
        <v>44</v>
      </c>
      <c r="AG52" s="43">
        <v>1120</v>
      </c>
      <c r="AH52" s="43">
        <f>AG52*$BB$1</f>
        <v>1456</v>
      </c>
      <c r="AI52" s="43">
        <v>200</v>
      </c>
      <c r="AJ52" s="52">
        <f>$BB$1*4</f>
        <v>5.2</v>
      </c>
      <c r="AK52" s="43">
        <v>374</v>
      </c>
      <c r="AL52" s="43" t="s">
        <v>108</v>
      </c>
      <c r="AM52" s="43">
        <v>45</v>
      </c>
      <c r="AN52" s="44">
        <v>58</v>
      </c>
      <c r="AO52" s="43" t="s">
        <v>125</v>
      </c>
      <c r="AP52" s="1">
        <v>30</v>
      </c>
      <c r="AQ52" s="1">
        <v>85</v>
      </c>
      <c r="AW52" s="43"/>
      <c r="BA52" s="49"/>
    </row>
    <row r="53" spans="1:53" ht="14.25">
      <c r="A53" s="44">
        <v>15</v>
      </c>
      <c r="B53" s="44">
        <v>1800</v>
      </c>
      <c r="C53" s="45" t="s">
        <v>126</v>
      </c>
      <c r="D53" s="45" t="s">
        <v>121</v>
      </c>
      <c r="E53" s="43" t="s">
        <v>123</v>
      </c>
      <c r="F53" s="43">
        <v>1774</v>
      </c>
      <c r="G53" s="46">
        <v>5.3</v>
      </c>
      <c r="H53" s="47">
        <f>ROUND(A53*746*10000/(O53*T53*1.732*575),1)</f>
        <v>14.5</v>
      </c>
      <c r="I53" s="47">
        <f>ROUND(A53*0.75*746*10000/(Q53*U53*1.732*575),1)</f>
        <v>11.4</v>
      </c>
      <c r="J53" s="47">
        <v>88</v>
      </c>
      <c r="K53" s="47">
        <f>ROUND(A53*5250/F53,1)</f>
        <v>44.4</v>
      </c>
      <c r="L53" s="47">
        <f>ROUND(A53*5250*0.75/(B53-((B53-F53)*0.75)),1)</f>
        <v>33.2</v>
      </c>
      <c r="M53" s="44">
        <v>229</v>
      </c>
      <c r="N53" s="44">
        <v>254</v>
      </c>
      <c r="O53" s="47">
        <v>92.4</v>
      </c>
      <c r="P53" s="47">
        <f>A53*746/(A53*746+(AB53*1.1))*100</f>
        <v>91.70305676855895</v>
      </c>
      <c r="Q53" s="47">
        <v>92.6</v>
      </c>
      <c r="R53" s="47">
        <f>ROUND(A53*0.75*746/(A53*0.75*746+(AC53*1.1))*100,1)</f>
        <v>91.9</v>
      </c>
      <c r="S53" s="47">
        <v>91.8</v>
      </c>
      <c r="T53" s="47">
        <v>83.6</v>
      </c>
      <c r="U53" s="47">
        <v>79.7</v>
      </c>
      <c r="V53" s="47">
        <v>71</v>
      </c>
      <c r="W53" s="44">
        <v>24</v>
      </c>
      <c r="X53" s="44">
        <v>12</v>
      </c>
      <c r="Y53" s="44">
        <f>H53*13</f>
        <v>188.5</v>
      </c>
      <c r="Z53" s="46">
        <v>5.2</v>
      </c>
      <c r="AA53" s="44">
        <v>61</v>
      </c>
      <c r="AB53" s="43">
        <f>(A53*746-(O53/100*(A53*746)))/(O53/100)</f>
        <v>920.389610389609</v>
      </c>
      <c r="AC53" s="43">
        <f>(A53*746*0.75-(Q53/100*(A53*0.75*746)))/(Q53/100)</f>
        <v>670.6749460043208</v>
      </c>
      <c r="AD53" s="43">
        <f>AE53+1</f>
        <v>12</v>
      </c>
      <c r="AE53" s="43">
        <v>11</v>
      </c>
      <c r="AF53" s="43">
        <v>50</v>
      </c>
      <c r="AG53" s="43">
        <v>296</v>
      </c>
      <c r="AH53" s="44">
        <f>AG53*$BB$1</f>
        <v>384.8</v>
      </c>
      <c r="AI53" s="43">
        <v>75</v>
      </c>
      <c r="AJ53" s="52">
        <f>$BB$1*1.62</f>
        <v>2.1060000000000003</v>
      </c>
      <c r="AK53" s="43">
        <v>234</v>
      </c>
      <c r="AL53" s="43" t="s">
        <v>108</v>
      </c>
      <c r="AM53" s="43">
        <v>45</v>
      </c>
      <c r="AN53" s="44">
        <v>56</v>
      </c>
      <c r="AO53" s="43" t="s">
        <v>125</v>
      </c>
      <c r="AP53" s="1">
        <v>10</v>
      </c>
      <c r="AQ53" s="1">
        <v>100</v>
      </c>
      <c r="AW53" s="43"/>
      <c r="BA53" s="49"/>
    </row>
    <row r="54" spans="1:53" ht="14.25">
      <c r="A54" s="44">
        <v>15</v>
      </c>
      <c r="B54" s="44">
        <v>3600</v>
      </c>
      <c r="C54" s="45" t="s">
        <v>126</v>
      </c>
      <c r="D54" s="45" t="s">
        <v>121</v>
      </c>
      <c r="E54" s="43" t="s">
        <v>123</v>
      </c>
      <c r="F54" s="43">
        <v>3533</v>
      </c>
      <c r="G54" s="46">
        <v>2.7</v>
      </c>
      <c r="H54" s="47">
        <f>ROUND(A54*746*10000/(O54*T54*1.732*575),1)</f>
        <v>13.3</v>
      </c>
      <c r="I54" s="47">
        <f>ROUND(A54*0.75*746*10000/(Q54*U54*1.732*575),1)</f>
        <v>10</v>
      </c>
      <c r="J54" s="47">
        <v>92.8</v>
      </c>
      <c r="K54" s="47">
        <f>ROUND(A54*5250/F54,1)</f>
        <v>22.3</v>
      </c>
      <c r="L54" s="47">
        <f>ROUND(A54*5250*0.75/(B54-((B54-F54)*0.75)),1)</f>
        <v>16.6</v>
      </c>
      <c r="M54" s="44">
        <v>220</v>
      </c>
      <c r="N54" s="44">
        <v>290</v>
      </c>
      <c r="O54" s="47">
        <v>91.6</v>
      </c>
      <c r="P54" s="47">
        <v>91</v>
      </c>
      <c r="Q54" s="47">
        <v>92</v>
      </c>
      <c r="R54" s="47">
        <f>ROUND(A54*0.75*746/(A54*0.75*746+(AC54*1.1))*100,1)</f>
        <v>91.3</v>
      </c>
      <c r="S54" s="47">
        <v>91.6</v>
      </c>
      <c r="T54" s="47">
        <v>91.9</v>
      </c>
      <c r="U54" s="47">
        <v>91.8</v>
      </c>
      <c r="V54" s="47">
        <v>91.1</v>
      </c>
      <c r="W54" s="44">
        <v>24</v>
      </c>
      <c r="X54" s="44">
        <v>11</v>
      </c>
      <c r="Y54" s="44">
        <f>H54*13</f>
        <v>172.9</v>
      </c>
      <c r="Z54" s="46">
        <v>2.7</v>
      </c>
      <c r="AA54" s="44">
        <v>65</v>
      </c>
      <c r="AB54" s="43">
        <f>(A54*746-(O54/100*(A54*746)))/(O54/100)</f>
        <v>1026.1572052401757</v>
      </c>
      <c r="AC54" s="43">
        <f>(A54*746*0.75-(Q54/100*(A54*0.75*746)))/(Q54/100)</f>
        <v>729.7826086956518</v>
      </c>
      <c r="AD54" s="43">
        <f>AE54+1</f>
        <v>7</v>
      </c>
      <c r="AE54" s="43">
        <v>6</v>
      </c>
      <c r="AF54" s="43">
        <v>100</v>
      </c>
      <c r="AG54" s="43">
        <v>40</v>
      </c>
      <c r="AH54" s="43">
        <f>AG54*$BB$1</f>
        <v>52</v>
      </c>
      <c r="AI54" s="43">
        <v>16</v>
      </c>
      <c r="AJ54" s="52">
        <f>$BB$1*1.06</f>
        <v>1.3780000000000001</v>
      </c>
      <c r="AK54" s="43">
        <v>266</v>
      </c>
      <c r="AL54" s="43" t="s">
        <v>108</v>
      </c>
      <c r="AM54" s="43">
        <v>56</v>
      </c>
      <c r="AN54" s="44">
        <v>75</v>
      </c>
      <c r="AO54" s="43" t="s">
        <v>125</v>
      </c>
      <c r="AP54" s="1">
        <v>30</v>
      </c>
      <c r="AQ54" s="1">
        <v>90</v>
      </c>
      <c r="AW54" s="43"/>
      <c r="BA54" s="49"/>
    </row>
    <row r="55" spans="1:53" ht="14.25">
      <c r="A55" s="44"/>
      <c r="B55" s="43"/>
      <c r="C55" s="51"/>
      <c r="D55" s="51"/>
      <c r="E55" s="43"/>
      <c r="F55" s="43"/>
      <c r="G55" s="46"/>
      <c r="H55" s="43"/>
      <c r="I55" s="47"/>
      <c r="J55" s="43"/>
      <c r="K55" s="52"/>
      <c r="L55" s="5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6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W55" s="43"/>
      <c r="BA55" s="49"/>
    </row>
    <row r="56" spans="1:53" ht="14.25">
      <c r="A56" s="44">
        <v>20</v>
      </c>
      <c r="B56" s="44">
        <v>900</v>
      </c>
      <c r="C56" s="45" t="s">
        <v>132</v>
      </c>
      <c r="D56" s="45" t="s">
        <v>133</v>
      </c>
      <c r="E56" s="43" t="s">
        <v>134</v>
      </c>
      <c r="F56" s="43">
        <v>879</v>
      </c>
      <c r="G56" s="46">
        <v>11</v>
      </c>
      <c r="H56" s="47">
        <f>ROUND(A56*746*10000/(O56*T56*1.732*575),1)</f>
        <v>23.6</v>
      </c>
      <c r="I56" s="47">
        <f>ROUND(A56*0.75*746*10000/(Q56*U56*1.732*575),1)</f>
        <v>19</v>
      </c>
      <c r="J56" s="44">
        <v>114</v>
      </c>
      <c r="K56" s="44">
        <f>ROUND(A56*5250/F56,0)</f>
        <v>119</v>
      </c>
      <c r="L56" s="47">
        <f>ROUND(A56*5250*0.75/(B56-((B56-F56)*0.75)),1)</f>
        <v>89.1</v>
      </c>
      <c r="M56" s="44">
        <v>225</v>
      </c>
      <c r="N56" s="44">
        <v>204</v>
      </c>
      <c r="O56" s="47">
        <v>89.5</v>
      </c>
      <c r="P56" s="47">
        <f>A56*746/(A56*746+(AB56*1.1))*100</f>
        <v>88.57001484413657</v>
      </c>
      <c r="Q56" s="47">
        <v>89.9</v>
      </c>
      <c r="R56" s="47">
        <f>ROUND(A56*0.75*746/(A56*0.75*746+(AC56*1.2))*100,1)</f>
        <v>88.1</v>
      </c>
      <c r="S56" s="47">
        <v>88.9</v>
      </c>
      <c r="T56" s="47">
        <v>70.8</v>
      </c>
      <c r="U56" s="47">
        <v>65.7</v>
      </c>
      <c r="V56" s="47">
        <v>55.4</v>
      </c>
      <c r="W56" s="44">
        <v>28</v>
      </c>
      <c r="X56" s="44">
        <v>12</v>
      </c>
      <c r="Y56" s="44">
        <f>H56*13</f>
        <v>306.8</v>
      </c>
      <c r="Z56" s="46"/>
      <c r="AA56" s="44">
        <v>55</v>
      </c>
      <c r="AB56" s="43">
        <f>(A56*746-(O56/100*(A56*746)))/(O56/100)</f>
        <v>1750.3910614525144</v>
      </c>
      <c r="AC56" s="43">
        <f>(A56*746*0.75-(Q56/100*(A56*0.75*746)))/(Q56/100)</f>
        <v>1257.1635150166858</v>
      </c>
      <c r="AD56" s="43"/>
      <c r="AE56" s="43"/>
      <c r="AF56" s="43"/>
      <c r="AG56" s="43">
        <v>2580</v>
      </c>
      <c r="AH56" s="43">
        <f>AG56*1</f>
        <v>2580</v>
      </c>
      <c r="AI56" s="43">
        <v>525</v>
      </c>
      <c r="AJ56" s="43" t="s">
        <v>107</v>
      </c>
      <c r="AK56" s="43">
        <v>591</v>
      </c>
      <c r="AL56" s="43" t="s">
        <v>108</v>
      </c>
      <c r="AM56" s="43">
        <v>48</v>
      </c>
      <c r="AN56" s="44">
        <v>62</v>
      </c>
      <c r="AO56" s="43" t="s">
        <v>125</v>
      </c>
      <c r="AP56" s="1" t="s">
        <v>110</v>
      </c>
      <c r="AQ56" s="1" t="s">
        <v>110</v>
      </c>
      <c r="AW56" s="43"/>
      <c r="BA56" s="49"/>
    </row>
    <row r="57" spans="1:53" ht="14.25">
      <c r="A57" s="44">
        <v>20</v>
      </c>
      <c r="B57" s="44">
        <v>1200</v>
      </c>
      <c r="C57" s="45" t="s">
        <v>128</v>
      </c>
      <c r="D57" s="45" t="s">
        <v>128</v>
      </c>
      <c r="E57" s="43" t="s">
        <v>131</v>
      </c>
      <c r="F57" s="43">
        <v>1170</v>
      </c>
      <c r="G57" s="46">
        <v>8</v>
      </c>
      <c r="H57" s="47">
        <f>ROUND(A57*746*10000/(O57*T57*1.732*575),1)</f>
        <v>19.4</v>
      </c>
      <c r="I57" s="47">
        <f>ROUND(A57*0.75*746*10000/(Q57*U57*1.732*575),1)</f>
        <v>15.1</v>
      </c>
      <c r="J57" s="44">
        <v>116</v>
      </c>
      <c r="K57" s="47">
        <f>ROUND(A57*5250/F57,1)</f>
        <v>89.7</v>
      </c>
      <c r="L57" s="47">
        <f>ROUND(A57*5250*0.75/(B57-((B57-F57)*0.75)),1)</f>
        <v>66.9</v>
      </c>
      <c r="M57" s="44">
        <v>205</v>
      </c>
      <c r="N57" s="44">
        <v>275</v>
      </c>
      <c r="O57" s="47">
        <v>92.3</v>
      </c>
      <c r="P57" s="47">
        <f>A57*746/(A57*746+(AB57*1.1))*100</f>
        <v>91.5947206509874</v>
      </c>
      <c r="Q57" s="47">
        <v>92.6</v>
      </c>
      <c r="R57" s="47">
        <f>ROUND(A57*0.75*746/(A57*0.75*746+(AC57*1.1))*100,1)</f>
        <v>91.9</v>
      </c>
      <c r="S57" s="47">
        <v>92.2</v>
      </c>
      <c r="T57" s="47">
        <v>83.5</v>
      </c>
      <c r="U57" s="47">
        <v>80.2</v>
      </c>
      <c r="V57" s="47">
        <v>72.2</v>
      </c>
      <c r="W57" s="44">
        <v>44</v>
      </c>
      <c r="X57" s="44">
        <v>16</v>
      </c>
      <c r="Y57" s="44">
        <f>H57*13</f>
        <v>252.2</v>
      </c>
      <c r="Z57" s="46">
        <v>7.9</v>
      </c>
      <c r="AA57" s="44">
        <v>59</v>
      </c>
      <c r="AB57" s="43">
        <f>(A57*746-(O57/100*(A57*746)))/(O57/100)</f>
        <v>1244.680390032503</v>
      </c>
      <c r="AC57" s="43">
        <f>(A57*746*0.75-(Q57/100*(A57*0.75*746)))/(Q57/100)</f>
        <v>894.2332613390944</v>
      </c>
      <c r="AD57" s="43">
        <f>AE57+1</f>
        <v>12</v>
      </c>
      <c r="AE57" s="43">
        <v>11</v>
      </c>
      <c r="AF57" s="43">
        <v>48</v>
      </c>
      <c r="AG57" s="43">
        <v>1250</v>
      </c>
      <c r="AH57" s="43">
        <f>AG57*$BB$1</f>
        <v>1625</v>
      </c>
      <c r="AI57" s="43">
        <v>262</v>
      </c>
      <c r="AJ57" s="52">
        <f>$BB$1*4.9</f>
        <v>6.370000000000001</v>
      </c>
      <c r="AK57" s="43">
        <v>404</v>
      </c>
      <c r="AL57" s="43" t="s">
        <v>108</v>
      </c>
      <c r="AM57" s="43">
        <v>50</v>
      </c>
      <c r="AN57" s="44">
        <v>66</v>
      </c>
      <c r="AO57" s="43" t="s">
        <v>125</v>
      </c>
      <c r="AP57" s="1">
        <v>30</v>
      </c>
      <c r="AQ57" s="1">
        <v>85</v>
      </c>
      <c r="AW57" s="43"/>
      <c r="BA57" s="49"/>
    </row>
    <row r="58" spans="1:53" ht="14.25">
      <c r="A58" s="44">
        <v>20</v>
      </c>
      <c r="B58" s="44">
        <v>1800</v>
      </c>
      <c r="C58" s="45" t="s">
        <v>126</v>
      </c>
      <c r="D58" s="45" t="s">
        <v>121</v>
      </c>
      <c r="E58" s="43" t="s">
        <v>124</v>
      </c>
      <c r="F58" s="43">
        <v>1772</v>
      </c>
      <c r="G58" s="46">
        <v>6.5</v>
      </c>
      <c r="H58" s="47">
        <f>ROUND(A58*746*10000/(O58*T58*1.732*575),1)</f>
        <v>19</v>
      </c>
      <c r="I58" s="47">
        <f>ROUND(A58*0.75*746*10000/(Q58*U58*1.732*575),1)</f>
        <v>14.8</v>
      </c>
      <c r="J58" s="44">
        <v>116</v>
      </c>
      <c r="K58" s="47">
        <f>ROUND(A58*5250/F58,1)</f>
        <v>59.3</v>
      </c>
      <c r="L58" s="47">
        <f>ROUND(A58*5250*0.75/(B58-((B58-F58)*0.75)),1)</f>
        <v>44.3</v>
      </c>
      <c r="M58" s="44">
        <v>225</v>
      </c>
      <c r="N58" s="44">
        <v>240</v>
      </c>
      <c r="O58" s="47">
        <v>93.1</v>
      </c>
      <c r="P58" s="47">
        <f>A58*746/(A58*746+(AB58*1.1))*100</f>
        <v>92.46201211639685</v>
      </c>
      <c r="Q58" s="47">
        <v>93.4</v>
      </c>
      <c r="R58" s="47">
        <f>ROUND(A58*0.75*746/(A58*0.75*746+(AC58*1.1))*100,1)</f>
        <v>92.8</v>
      </c>
      <c r="S58" s="47">
        <v>93</v>
      </c>
      <c r="T58" s="47">
        <v>84.9</v>
      </c>
      <c r="U58" s="47">
        <v>81.4</v>
      </c>
      <c r="V58" s="47">
        <v>73.3</v>
      </c>
      <c r="W58" s="44">
        <v>21</v>
      </c>
      <c r="X58" s="44">
        <v>9</v>
      </c>
      <c r="Y58" s="44">
        <f>H58*13</f>
        <v>247</v>
      </c>
      <c r="Z58" s="46">
        <v>6.4</v>
      </c>
      <c r="AA58" s="44">
        <v>61</v>
      </c>
      <c r="AB58" s="43">
        <f>(A58*746-(O58/100*(A58*746)))/(O58/100)</f>
        <v>1105.7787325456513</v>
      </c>
      <c r="AC58" s="43">
        <f>(A58*746*0.75-(Q58/100*(A58*0.75*746)))/(Q58/100)</f>
        <v>790.7280513918619</v>
      </c>
      <c r="AD58" s="43">
        <f>AE58+1</f>
        <v>11</v>
      </c>
      <c r="AE58" s="43">
        <v>10</v>
      </c>
      <c r="AF58" s="43">
        <v>55</v>
      </c>
      <c r="AG58" s="43">
        <v>344</v>
      </c>
      <c r="AH58" s="44">
        <f>AG58*$BB$1</f>
        <v>447.2</v>
      </c>
      <c r="AI58" s="43">
        <v>99</v>
      </c>
      <c r="AJ58" s="52">
        <f>$BB$1*2.21</f>
        <v>2.873</v>
      </c>
      <c r="AK58" s="43">
        <v>285</v>
      </c>
      <c r="AL58" s="43" t="s">
        <v>108</v>
      </c>
      <c r="AM58" s="43">
        <v>51</v>
      </c>
      <c r="AN58" s="44">
        <v>66</v>
      </c>
      <c r="AO58" s="43" t="s">
        <v>125</v>
      </c>
      <c r="AP58" s="1">
        <v>20</v>
      </c>
      <c r="AQ58" s="1">
        <v>90</v>
      </c>
      <c r="AW58" s="43"/>
      <c r="BA58" s="49"/>
    </row>
    <row r="59" spans="1:53" ht="14.25">
      <c r="A59" s="44">
        <v>20</v>
      </c>
      <c r="B59" s="44">
        <v>3600</v>
      </c>
      <c r="C59" s="45" t="s">
        <v>126</v>
      </c>
      <c r="D59" s="45" t="s">
        <v>121</v>
      </c>
      <c r="E59" s="43" t="s">
        <v>124</v>
      </c>
      <c r="F59" s="43">
        <v>3535</v>
      </c>
      <c r="G59" s="46">
        <v>3.3</v>
      </c>
      <c r="H59" s="47">
        <f>ROUND(A59*746*10000/(O59*T59*1.732*575),1)</f>
        <v>17.4</v>
      </c>
      <c r="I59" s="47">
        <f>ROUND(A59*0.75*746*10000/(Q59*U59*1.732*575),1)</f>
        <v>13.1</v>
      </c>
      <c r="J59" s="44">
        <v>116</v>
      </c>
      <c r="K59" s="47">
        <f>ROUND(A59*5250/F59,1)</f>
        <v>29.7</v>
      </c>
      <c r="L59" s="47">
        <f>ROUND(A59*5250*0.75/(B59-((B59-F59)*0.75)),1)</f>
        <v>22.2</v>
      </c>
      <c r="M59" s="44">
        <v>250</v>
      </c>
      <c r="N59" s="44">
        <v>280</v>
      </c>
      <c r="O59" s="47">
        <v>92.5</v>
      </c>
      <c r="P59" s="47">
        <f>A59*746/(A59*746+(AB59*1.1))*100</f>
        <v>91.81141439205956</v>
      </c>
      <c r="Q59" s="47">
        <v>93.2</v>
      </c>
      <c r="R59" s="47">
        <f>ROUND(A59*0.75*746/(A59*0.75*746+(AC59*1.1))*100,1)</f>
        <v>92.6</v>
      </c>
      <c r="S59" s="47">
        <v>93.2</v>
      </c>
      <c r="T59" s="47">
        <v>92.9</v>
      </c>
      <c r="U59" s="47">
        <v>92.3</v>
      </c>
      <c r="V59" s="47">
        <v>88.9</v>
      </c>
      <c r="W59" s="44">
        <v>21</v>
      </c>
      <c r="X59" s="44">
        <v>9</v>
      </c>
      <c r="Y59" s="44">
        <f>H59*13</f>
        <v>226.2</v>
      </c>
      <c r="Z59" s="46">
        <v>3.3</v>
      </c>
      <c r="AA59" s="44">
        <v>72</v>
      </c>
      <c r="AB59" s="43">
        <f>(A59*746-(O59/100*(A59*746)))/(O59/100)</f>
        <v>1209.7297297297296</v>
      </c>
      <c r="AC59" s="43">
        <f>(A59*746*0.75-(Q59/100*(A59*0.75*746)))/(Q59/100)</f>
        <v>816.4377682403434</v>
      </c>
      <c r="AD59" s="43">
        <f>AE59+1</f>
        <v>6</v>
      </c>
      <c r="AE59" s="43">
        <v>5</v>
      </c>
      <c r="AF59" s="43">
        <v>110</v>
      </c>
      <c r="AG59" s="43">
        <v>50.6</v>
      </c>
      <c r="AH59" s="47">
        <f>AG59*$BB$1</f>
        <v>65.78</v>
      </c>
      <c r="AI59" s="43">
        <v>21</v>
      </c>
      <c r="AJ59" s="52">
        <f>$BB$1*1.6</f>
        <v>2.08</v>
      </c>
      <c r="AK59" s="43">
        <v>312</v>
      </c>
      <c r="AL59" s="43" t="s">
        <v>108</v>
      </c>
      <c r="AM59" s="43">
        <v>56</v>
      </c>
      <c r="AN59" s="44">
        <v>80</v>
      </c>
      <c r="AO59" s="43" t="s">
        <v>125</v>
      </c>
      <c r="AP59" s="1">
        <v>60</v>
      </c>
      <c r="AQ59" s="1">
        <v>80</v>
      </c>
      <c r="AW59" s="43"/>
      <c r="BA59" s="49"/>
    </row>
    <row r="60" spans="1:53" ht="14.25">
      <c r="A60" s="44"/>
      <c r="B60" s="44"/>
      <c r="C60" s="45"/>
      <c r="D60" s="45"/>
      <c r="E60" s="43"/>
      <c r="F60" s="43"/>
      <c r="G60" s="46"/>
      <c r="H60" s="47"/>
      <c r="I60" s="47"/>
      <c r="J60" s="44"/>
      <c r="K60" s="47"/>
      <c r="L60" s="47"/>
      <c r="M60" s="44"/>
      <c r="N60" s="44"/>
      <c r="O60" s="47"/>
      <c r="P60" s="47"/>
      <c r="Q60" s="47"/>
      <c r="R60" s="47"/>
      <c r="S60" s="47"/>
      <c r="T60" s="47"/>
      <c r="U60" s="47"/>
      <c r="V60" s="47"/>
      <c r="W60" s="44"/>
      <c r="X60" s="44"/>
      <c r="Y60" s="44"/>
      <c r="Z60" s="46"/>
      <c r="AA60" s="44"/>
      <c r="AB60" s="43"/>
      <c r="AC60" s="43"/>
      <c r="AD60" s="43"/>
      <c r="AE60" s="43"/>
      <c r="AF60" s="43"/>
      <c r="AG60" s="43"/>
      <c r="AH60" s="47"/>
      <c r="AI60" s="43"/>
      <c r="AJ60" s="52"/>
      <c r="AK60" s="43"/>
      <c r="AL60" s="43"/>
      <c r="AM60" s="43"/>
      <c r="AN60" s="44"/>
      <c r="AO60" s="43"/>
      <c r="AW60" s="43"/>
      <c r="BA60" s="49"/>
    </row>
    <row r="61" spans="1:53" ht="14.25">
      <c r="A61" s="44">
        <v>25</v>
      </c>
      <c r="B61" s="44">
        <v>900</v>
      </c>
      <c r="C61" s="45" t="s">
        <v>132</v>
      </c>
      <c r="D61" s="45" t="s">
        <v>133</v>
      </c>
      <c r="E61" s="43" t="s">
        <v>135</v>
      </c>
      <c r="F61" s="43">
        <v>881</v>
      </c>
      <c r="G61" s="46">
        <v>14.6</v>
      </c>
      <c r="H61" s="47">
        <f>ROUND(A61*746*10000/(O61*T61*1.732*575),1)</f>
        <v>28.7</v>
      </c>
      <c r="I61" s="47">
        <f>ROUND(A61*0.75*746*10000/(Q61*U61*1.732*575),1)</f>
        <v>23.4</v>
      </c>
      <c r="J61" s="44">
        <v>146</v>
      </c>
      <c r="K61" s="44">
        <f>ROUND(A61*5250/F61,0)</f>
        <v>149</v>
      </c>
      <c r="L61" s="53">
        <f>ROUND(A61*5250*0.75/(B61-((B61-F61)*0.75)),0)</f>
        <v>111</v>
      </c>
      <c r="M61" s="44">
        <v>250</v>
      </c>
      <c r="N61" s="44">
        <v>236</v>
      </c>
      <c r="O61" s="47">
        <v>91</v>
      </c>
      <c r="P61" s="47">
        <f>A61*746/(A61*746+(AB61*1.1))*100</f>
        <v>90.18830525272547</v>
      </c>
      <c r="Q61" s="47">
        <v>90.9</v>
      </c>
      <c r="R61" s="47">
        <f>ROUND(A61*0.75*746/(A61*0.75*746+(AC61*1.2))*100,1)</f>
        <v>89.3</v>
      </c>
      <c r="S61" s="47">
        <v>88.7</v>
      </c>
      <c r="T61" s="47">
        <v>71.6</v>
      </c>
      <c r="U61" s="47">
        <v>66</v>
      </c>
      <c r="V61" s="47">
        <v>55.3</v>
      </c>
      <c r="W61" s="44">
        <v>30</v>
      </c>
      <c r="X61" s="44">
        <v>10</v>
      </c>
      <c r="Y61" s="44">
        <f>H61*13</f>
        <v>373.09999999999997</v>
      </c>
      <c r="Z61" s="46"/>
      <c r="AA61" s="44">
        <v>59</v>
      </c>
      <c r="AB61" s="43">
        <f>(A61*746-(O61/100*(A61*746)))/(O61/100)</f>
        <v>1844.5054945054944</v>
      </c>
      <c r="AC61" s="43">
        <f>(A61*746*0.75-(Q61/100*(A61*0.75*746)))/(Q61/100)</f>
        <v>1400.288778877887</v>
      </c>
      <c r="AD61" s="43"/>
      <c r="AE61" s="43"/>
      <c r="AF61" s="43"/>
      <c r="AG61" s="43">
        <v>2770</v>
      </c>
      <c r="AH61" s="43">
        <f>AG61*1</f>
        <v>2770</v>
      </c>
      <c r="AI61" s="43">
        <v>647</v>
      </c>
      <c r="AJ61" s="52" t="s">
        <v>107</v>
      </c>
      <c r="AK61" s="43">
        <v>683</v>
      </c>
      <c r="AL61" s="43" t="s">
        <v>108</v>
      </c>
      <c r="AM61" s="43">
        <v>59</v>
      </c>
      <c r="AN61" s="44">
        <v>73</v>
      </c>
      <c r="AO61" s="43" t="s">
        <v>125</v>
      </c>
      <c r="AP61" s="1" t="s">
        <v>110</v>
      </c>
      <c r="AQ61" s="1" t="s">
        <v>110</v>
      </c>
      <c r="AW61" s="43"/>
      <c r="BA61" s="49"/>
    </row>
    <row r="62" spans="1:53" ht="14.25">
      <c r="A62" s="44">
        <v>25</v>
      </c>
      <c r="B62" s="44">
        <v>1200</v>
      </c>
      <c r="C62" s="45" t="s">
        <v>132</v>
      </c>
      <c r="D62" s="45" t="s">
        <v>132</v>
      </c>
      <c r="E62" s="43" t="s">
        <v>134</v>
      </c>
      <c r="F62" s="43">
        <v>1175</v>
      </c>
      <c r="G62" s="46">
        <v>10</v>
      </c>
      <c r="H62" s="47">
        <f>ROUND(A62*746*10000/(O62*T62*1.732*575),1)</f>
        <v>24.9</v>
      </c>
      <c r="I62" s="47">
        <f>ROUND(A62*0.75*746*10000/(Q62*U62*1.732*575),1)</f>
        <v>19.6</v>
      </c>
      <c r="J62" s="44">
        <v>146</v>
      </c>
      <c r="K62" s="44">
        <f>ROUND(A62*5250/F62,0)</f>
        <v>112</v>
      </c>
      <c r="L62" s="47">
        <f>ROUND(A62*5250*0.75/(B62-((B62-F62)*0.75)),1)</f>
        <v>83.3</v>
      </c>
      <c r="M62" s="44">
        <v>245</v>
      </c>
      <c r="N62" s="44">
        <v>255</v>
      </c>
      <c r="O62" s="47">
        <v>92.9</v>
      </c>
      <c r="P62" s="47">
        <f>A62*746/(A62*746+(AB62*1.1))*100</f>
        <v>92.24506007347831</v>
      </c>
      <c r="Q62" s="47">
        <v>93.5</v>
      </c>
      <c r="R62" s="47">
        <f>ROUND(A62*0.75*746/(A62*0.75*746+(AC62*1.1))*100,1)</f>
        <v>92.9</v>
      </c>
      <c r="S62" s="47">
        <v>93</v>
      </c>
      <c r="T62" s="47">
        <v>80.9</v>
      </c>
      <c r="U62" s="47">
        <v>76.8</v>
      </c>
      <c r="V62" s="47">
        <v>67.7</v>
      </c>
      <c r="W62" s="44">
        <v>42</v>
      </c>
      <c r="X62" s="44">
        <v>20</v>
      </c>
      <c r="Y62" s="44">
        <f>H62*13</f>
        <v>323.7</v>
      </c>
      <c r="Z62" s="46">
        <v>9.9</v>
      </c>
      <c r="AA62" s="44">
        <v>59</v>
      </c>
      <c r="AB62" s="43">
        <f>(A62*746-(O62/100*(A62*746)))/(O62/100)</f>
        <v>1425.3498385360579</v>
      </c>
      <c r="AC62" s="43">
        <f>(A62*746*0.75-(Q62/100*(A62*0.75*746)))/(Q62/100)</f>
        <v>972.3930481283422</v>
      </c>
      <c r="AD62" s="43">
        <f>AE62+1</f>
        <v>11</v>
      </c>
      <c r="AE62" s="43">
        <v>10</v>
      </c>
      <c r="AF62" s="43">
        <v>51</v>
      </c>
      <c r="AG62" s="43">
        <v>1730</v>
      </c>
      <c r="AH62" s="43">
        <f>AG62*$BB$1</f>
        <v>2249</v>
      </c>
      <c r="AI62" s="43">
        <v>324</v>
      </c>
      <c r="AJ62" s="52">
        <f>$BB$1*6.5</f>
        <v>8.450000000000001</v>
      </c>
      <c r="AK62" s="43">
        <v>496</v>
      </c>
      <c r="AL62" s="43" t="s">
        <v>108</v>
      </c>
      <c r="AM62" s="43">
        <v>46</v>
      </c>
      <c r="AN62" s="44">
        <v>61</v>
      </c>
      <c r="AO62" s="43" t="s">
        <v>125</v>
      </c>
      <c r="AP62" s="1">
        <v>10</v>
      </c>
      <c r="AQ62" s="1">
        <v>100</v>
      </c>
      <c r="AW62" s="43"/>
      <c r="BA62" s="49"/>
    </row>
    <row r="63" spans="1:53" ht="14.25">
      <c r="A63" s="44">
        <v>25</v>
      </c>
      <c r="B63" s="44">
        <v>1800</v>
      </c>
      <c r="C63" s="45" t="s">
        <v>128</v>
      </c>
      <c r="D63" s="45" t="s">
        <v>128</v>
      </c>
      <c r="E63" s="43" t="s">
        <v>130</v>
      </c>
      <c r="F63" s="43">
        <v>1770</v>
      </c>
      <c r="G63" s="46">
        <v>8.4</v>
      </c>
      <c r="H63" s="47">
        <f>ROUND(A63*746*10000/(O63*T63*1.732*575),1)</f>
        <v>23.4</v>
      </c>
      <c r="I63" s="47">
        <f>ROUND(A63*0.75*746*10000/(Q63*U63*1.732*575),1)</f>
        <v>18.1</v>
      </c>
      <c r="J63" s="44">
        <v>146</v>
      </c>
      <c r="K63" s="44">
        <f>ROUND(A63*5250/F63,1)</f>
        <v>74.2</v>
      </c>
      <c r="L63" s="47">
        <f>ROUND(A63*5250*0.75/(B63-((B63-F63)*0.75)),1)</f>
        <v>55.4</v>
      </c>
      <c r="M63" s="44">
        <v>240</v>
      </c>
      <c r="N63" s="44">
        <v>260</v>
      </c>
      <c r="O63" s="47">
        <v>93.5</v>
      </c>
      <c r="P63" s="47">
        <f>A63*746/(A63*746+(AB63*1.1))*100</f>
        <v>92.89617486338798</v>
      </c>
      <c r="Q63" s="47">
        <v>93.7</v>
      </c>
      <c r="R63" s="47">
        <f>ROUND(A63*0.75*746/(A63*0.75*746+(AC63*1.1))*100,1)</f>
        <v>93.1</v>
      </c>
      <c r="S63" s="47">
        <v>93.1</v>
      </c>
      <c r="T63" s="47">
        <v>85.5</v>
      </c>
      <c r="U63" s="47">
        <v>82.6</v>
      </c>
      <c r="V63" s="47">
        <v>75</v>
      </c>
      <c r="W63" s="44">
        <v>21</v>
      </c>
      <c r="X63" s="44">
        <v>8</v>
      </c>
      <c r="Y63" s="44">
        <f>H63*13</f>
        <v>304.2</v>
      </c>
      <c r="Z63" s="46">
        <v>8.3</v>
      </c>
      <c r="AA63" s="44">
        <v>67</v>
      </c>
      <c r="AB63" s="43">
        <f>(A63*746-(O63/100*(A63*746)))/(O63/100)</f>
        <v>1296.524064171123</v>
      </c>
      <c r="AC63" s="43">
        <f>(A63*746*0.75-(Q63/100*(A63*0.75*746)))/(Q63/100)</f>
        <v>940.461579509071</v>
      </c>
      <c r="AD63" s="43">
        <f>AE63+1</f>
        <v>10</v>
      </c>
      <c r="AE63" s="43">
        <v>9</v>
      </c>
      <c r="AF63" s="43">
        <v>58</v>
      </c>
      <c r="AG63" s="43">
        <v>400</v>
      </c>
      <c r="AH63" s="43">
        <f>AG63*$BB$1</f>
        <v>520</v>
      </c>
      <c r="AI63" s="43">
        <v>122</v>
      </c>
      <c r="AJ63" s="52">
        <f>$BB$1*2.4</f>
        <v>3.1200000000000006</v>
      </c>
      <c r="AK63" s="43">
        <v>370</v>
      </c>
      <c r="AL63" s="43" t="s">
        <v>108</v>
      </c>
      <c r="AM63" s="43">
        <v>51</v>
      </c>
      <c r="AN63" s="44">
        <v>67</v>
      </c>
      <c r="AO63" s="43" t="s">
        <v>125</v>
      </c>
      <c r="AP63" s="1">
        <v>30</v>
      </c>
      <c r="AQ63" s="1">
        <v>90</v>
      </c>
      <c r="AW63" s="43"/>
      <c r="BA63" s="49"/>
    </row>
    <row r="64" spans="1:53" ht="14.25">
      <c r="A64" s="44">
        <v>25</v>
      </c>
      <c r="B64" s="44">
        <v>3600</v>
      </c>
      <c r="C64" s="45" t="s">
        <v>128</v>
      </c>
      <c r="D64" s="45" t="s">
        <v>128</v>
      </c>
      <c r="E64" s="43" t="s">
        <v>136</v>
      </c>
      <c r="F64" s="43">
        <v>3529</v>
      </c>
      <c r="G64" s="46">
        <v>4</v>
      </c>
      <c r="H64" s="47">
        <f>ROUND(A64*746*10000/(O64*T64*1.732*575),1)</f>
        <v>21.7</v>
      </c>
      <c r="I64" s="47">
        <f>ROUND(A64*0.75*746*10000/(Q64*U64*1.732*575),1)</f>
        <v>16.3</v>
      </c>
      <c r="J64" s="44">
        <v>146</v>
      </c>
      <c r="K64" s="44">
        <f>ROUND(A64*5250/F64,1)</f>
        <v>37.2</v>
      </c>
      <c r="L64" s="47">
        <f>ROUND(A64*5250*0.75/(B64-((B64-F64)*0.75)),1)</f>
        <v>27.8</v>
      </c>
      <c r="M64" s="44">
        <v>260</v>
      </c>
      <c r="N64" s="44">
        <v>250</v>
      </c>
      <c r="O64" s="47">
        <v>92.4</v>
      </c>
      <c r="P64" s="47">
        <f>A64*746/(A64*746+(AB64*1.1))*100</f>
        <v>91.70305676855897</v>
      </c>
      <c r="Q64" s="47">
        <v>93</v>
      </c>
      <c r="R64" s="47">
        <f>ROUND(A64*0.75*746/(A64*0.75*746+(AC64*1.1))*100,1)</f>
        <v>92.4</v>
      </c>
      <c r="S64" s="47">
        <v>92</v>
      </c>
      <c r="T64" s="47">
        <v>93.2</v>
      </c>
      <c r="U64" s="47">
        <v>92.4</v>
      </c>
      <c r="V64" s="47">
        <v>89.6</v>
      </c>
      <c r="W64" s="44">
        <v>21</v>
      </c>
      <c r="X64" s="44">
        <v>8</v>
      </c>
      <c r="Y64" s="44">
        <f>H64*13</f>
        <v>282.09999999999997</v>
      </c>
      <c r="Z64" s="46">
        <v>4</v>
      </c>
      <c r="AA64" s="44">
        <v>81</v>
      </c>
      <c r="AB64" s="43">
        <f>(A64*746-(O64/100*(A64*746)))/(O64/100)</f>
        <v>1533.9826839826815</v>
      </c>
      <c r="AC64" s="43">
        <f>(A64*746*0.75-(Q64/100*(A64*0.75*746)))/(Q64/100)</f>
        <v>1052.8225806451612</v>
      </c>
      <c r="AD64" s="43">
        <f>AE64+1</f>
        <v>6</v>
      </c>
      <c r="AE64" s="43">
        <v>5</v>
      </c>
      <c r="AF64" s="43">
        <v>115</v>
      </c>
      <c r="AG64" s="43">
        <v>106</v>
      </c>
      <c r="AH64" s="44">
        <f>AG64*$BB$1</f>
        <v>137.8</v>
      </c>
      <c r="AI64" s="43">
        <v>26</v>
      </c>
      <c r="AJ64" s="52">
        <f>$BB$1*2.5</f>
        <v>3.25</v>
      </c>
      <c r="AK64" s="43">
        <v>411</v>
      </c>
      <c r="AL64" s="43" t="s">
        <v>108</v>
      </c>
      <c r="AM64" s="43">
        <v>53</v>
      </c>
      <c r="AN64" s="44">
        <v>75</v>
      </c>
      <c r="AO64" s="43" t="s">
        <v>125</v>
      </c>
      <c r="AP64" s="1">
        <v>60</v>
      </c>
      <c r="AQ64" s="1">
        <v>80</v>
      </c>
      <c r="AW64" s="43"/>
      <c r="BA64" s="49"/>
    </row>
    <row r="65" spans="1:53" ht="14.25">
      <c r="A65" s="44"/>
      <c r="B65" s="43"/>
      <c r="C65" s="51"/>
      <c r="D65" s="51"/>
      <c r="E65" s="43"/>
      <c r="F65" s="43"/>
      <c r="G65" s="46"/>
      <c r="H65" s="43"/>
      <c r="I65" s="47"/>
      <c r="J65" s="44"/>
      <c r="K65" s="52"/>
      <c r="L65" s="5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4"/>
      <c r="AB65" s="43"/>
      <c r="AC65" s="43"/>
      <c r="AD65" s="43"/>
      <c r="AE65" s="43"/>
      <c r="AF65" s="43"/>
      <c r="AG65" s="43"/>
      <c r="AH65" s="44"/>
      <c r="AI65" s="43"/>
      <c r="AJ65" s="52"/>
      <c r="AK65" s="43"/>
      <c r="AL65" s="43"/>
      <c r="AM65" s="43"/>
      <c r="AN65" s="43"/>
      <c r="AO65" s="43"/>
      <c r="AW65" s="43"/>
      <c r="BA65" s="49"/>
    </row>
    <row r="66" spans="1:53" ht="14.25">
      <c r="A66" s="44">
        <v>30</v>
      </c>
      <c r="B66" s="44">
        <v>900</v>
      </c>
      <c r="C66" s="45" t="s">
        <v>137</v>
      </c>
      <c r="D66" s="45" t="s">
        <v>132</v>
      </c>
      <c r="E66" s="43" t="s">
        <v>138</v>
      </c>
      <c r="F66" s="43">
        <v>879</v>
      </c>
      <c r="G66" s="46">
        <v>16.3</v>
      </c>
      <c r="H66" s="47">
        <f>ROUND(A66*746*10000/(O66*T66*1.732*575),1)</f>
        <v>33.3</v>
      </c>
      <c r="I66" s="47">
        <f>ROUND(A66*0.75*746*10000/(Q66*U66*1.732*575),1)</f>
        <v>26.8</v>
      </c>
      <c r="J66" s="44">
        <v>174</v>
      </c>
      <c r="K66" s="44">
        <f>ROUND(A66*5250/F66,0)</f>
        <v>179</v>
      </c>
      <c r="L66" s="53">
        <f>ROUND(A66*5250*0.75/(B66-((B66-F66)*0.75)),0)</f>
        <v>134</v>
      </c>
      <c r="M66" s="44">
        <v>252</v>
      </c>
      <c r="N66" s="44">
        <v>203</v>
      </c>
      <c r="O66" s="47">
        <v>91</v>
      </c>
      <c r="P66" s="47">
        <f>A66*746/(A66*746+(AB66*1.1))*100</f>
        <v>90.18830525272547</v>
      </c>
      <c r="Q66" s="47">
        <v>91</v>
      </c>
      <c r="R66" s="47">
        <f>ROUND(A66*0.75*746/(A66*0.75*746+(AC66*1.2))*100,1)</f>
        <v>89.4</v>
      </c>
      <c r="S66" s="47">
        <v>89.5</v>
      </c>
      <c r="T66" s="47">
        <v>74.2</v>
      </c>
      <c r="U66" s="47">
        <v>69</v>
      </c>
      <c r="V66" s="47">
        <v>58.4</v>
      </c>
      <c r="W66" s="44">
        <v>29</v>
      </c>
      <c r="X66" s="44">
        <v>10</v>
      </c>
      <c r="Y66" s="44">
        <f>H66*13</f>
        <v>432.9</v>
      </c>
      <c r="Z66" s="46"/>
      <c r="AA66" s="43">
        <v>59</v>
      </c>
      <c r="AB66" s="43">
        <f>(A66*746-(O66/100*(A66*746)))/(O66/100)</f>
        <v>2213.4065934065943</v>
      </c>
      <c r="AC66" s="43">
        <f>(A66*746*0.75-(Q66/100*(A66*0.75*746)))/(Q66/100)</f>
        <v>1660.0549450549447</v>
      </c>
      <c r="AD66" s="43"/>
      <c r="AE66" s="43"/>
      <c r="AF66" s="43"/>
      <c r="AG66" s="43">
        <v>2900</v>
      </c>
      <c r="AH66" s="44">
        <f>AG66*1</f>
        <v>2900</v>
      </c>
      <c r="AI66" s="43">
        <v>769</v>
      </c>
      <c r="AJ66" s="52" t="s">
        <v>107</v>
      </c>
      <c r="AK66" s="43">
        <v>816</v>
      </c>
      <c r="AL66" s="43" t="s">
        <v>108</v>
      </c>
      <c r="AM66" s="43">
        <v>53</v>
      </c>
      <c r="AN66" s="44">
        <v>67</v>
      </c>
      <c r="AO66" s="43" t="s">
        <v>125</v>
      </c>
      <c r="AP66" s="1" t="s">
        <v>110</v>
      </c>
      <c r="AQ66" s="1" t="s">
        <v>110</v>
      </c>
      <c r="AW66" s="43"/>
      <c r="BA66" s="49"/>
    </row>
    <row r="67" spans="1:53" ht="14.25">
      <c r="A67" s="44">
        <v>30</v>
      </c>
      <c r="B67" s="44">
        <v>1200</v>
      </c>
      <c r="C67" s="45" t="s">
        <v>132</v>
      </c>
      <c r="D67" s="45" t="s">
        <v>132</v>
      </c>
      <c r="E67" s="43" t="s">
        <v>135</v>
      </c>
      <c r="F67" s="43">
        <v>1177</v>
      </c>
      <c r="G67" s="46">
        <v>11.2</v>
      </c>
      <c r="H67" s="47">
        <f>ROUND(A67*746*10000/(O67*T67*1.732*575),1)</f>
        <v>29.6</v>
      </c>
      <c r="I67" s="47">
        <f>ROUND(A67*0.75*746*10000/(Q67*U67*1.732*575),1)</f>
        <v>23.2</v>
      </c>
      <c r="J67" s="44">
        <v>174</v>
      </c>
      <c r="K67" s="44">
        <f>ROUND(A67*5250/F67,0)</f>
        <v>134</v>
      </c>
      <c r="L67" s="53">
        <f>ROUND(A67*5250*0.75/(B67-((B67-F67)*0.75)),0)</f>
        <v>100</v>
      </c>
      <c r="M67" s="44">
        <v>245</v>
      </c>
      <c r="N67" s="44">
        <v>254</v>
      </c>
      <c r="O67" s="47">
        <v>93.6</v>
      </c>
      <c r="P67" s="47">
        <f>A67*746/(A67*746+(AB67*1.1))*100</f>
        <v>93.0047694753577</v>
      </c>
      <c r="Q67" s="47">
        <v>94</v>
      </c>
      <c r="R67" s="47">
        <f>ROUND(A67*0.75*746/(A67*0.75*746+(AC67*1.1))*100,1)</f>
        <v>93.4</v>
      </c>
      <c r="S67" s="47">
        <v>93.7</v>
      </c>
      <c r="T67" s="47">
        <v>81.2</v>
      </c>
      <c r="U67" s="47">
        <v>77.2</v>
      </c>
      <c r="V67" s="47">
        <v>68.1</v>
      </c>
      <c r="W67" s="44">
        <v>42</v>
      </c>
      <c r="X67" s="44">
        <v>18</v>
      </c>
      <c r="Y67" s="44">
        <f>H67*13</f>
        <v>384.8</v>
      </c>
      <c r="Z67" s="46">
        <v>11.1</v>
      </c>
      <c r="AA67" s="44">
        <v>61</v>
      </c>
      <c r="AB67" s="43">
        <f>(A67*746-(O67/100*(A67*746)))/(O67/100)</f>
        <v>1530.25641025641</v>
      </c>
      <c r="AC67" s="43">
        <f>(A67*746*0.75-(Q67/100*(A67*0.75*746)))/(Q67/100)</f>
        <v>1071.3829787234047</v>
      </c>
      <c r="AD67" s="43">
        <f>AE67+1</f>
        <v>10</v>
      </c>
      <c r="AE67" s="43">
        <v>9</v>
      </c>
      <c r="AF67" s="43">
        <v>53</v>
      </c>
      <c r="AG67" s="43">
        <v>1840</v>
      </c>
      <c r="AH67" s="44">
        <f>AG67*$BB$1</f>
        <v>2392</v>
      </c>
      <c r="AI67" s="43">
        <v>384</v>
      </c>
      <c r="AJ67" s="47">
        <f>$BB$1*7.7</f>
        <v>10.01</v>
      </c>
      <c r="AK67" s="43">
        <v>539</v>
      </c>
      <c r="AL67" s="43" t="s">
        <v>108</v>
      </c>
      <c r="AM67" s="43">
        <v>49</v>
      </c>
      <c r="AN67" s="44">
        <v>63</v>
      </c>
      <c r="AO67" s="43" t="s">
        <v>125</v>
      </c>
      <c r="AP67" s="1">
        <v>20</v>
      </c>
      <c r="AQ67" s="1">
        <v>90</v>
      </c>
      <c r="AW67" s="43"/>
      <c r="BA67" s="49"/>
    </row>
    <row r="68" spans="1:53" ht="14.25">
      <c r="A68" s="44">
        <v>30</v>
      </c>
      <c r="B68" s="44">
        <v>1800</v>
      </c>
      <c r="C68" s="45" t="s">
        <v>128</v>
      </c>
      <c r="D68" s="45" t="s">
        <v>128</v>
      </c>
      <c r="E68" s="43" t="s">
        <v>131</v>
      </c>
      <c r="F68" s="43">
        <v>1770</v>
      </c>
      <c r="G68" s="46">
        <v>10.4</v>
      </c>
      <c r="H68" s="47">
        <f>ROUND(A68*746*10000/(O68*T68*1.732*575),1)</f>
        <v>28.1</v>
      </c>
      <c r="I68" s="47">
        <f>ROUND(A68*0.75*746*10000/(Q68*U68*1.732*575),1)</f>
        <v>21.8</v>
      </c>
      <c r="J68" s="44">
        <v>174</v>
      </c>
      <c r="K68" s="47">
        <f>ROUND(A68*5250/F68,1)</f>
        <v>89</v>
      </c>
      <c r="L68" s="47">
        <f>ROUND(A68*5250*0.75/(B68-((B68-F68)*0.75)),1)</f>
        <v>66.5</v>
      </c>
      <c r="M68" s="44">
        <v>255</v>
      </c>
      <c r="N68" s="44">
        <v>275</v>
      </c>
      <c r="O68" s="47">
        <v>93.4</v>
      </c>
      <c r="P68" s="47">
        <v>93</v>
      </c>
      <c r="Q68" s="47">
        <v>93.6</v>
      </c>
      <c r="R68" s="47">
        <f>ROUND(A68*0.75*746/(A68*0.75*746+(AC68*1.1))*100,1)</f>
        <v>93</v>
      </c>
      <c r="S68" s="47">
        <v>93</v>
      </c>
      <c r="T68" s="47">
        <v>85.7</v>
      </c>
      <c r="U68" s="47">
        <v>82.7</v>
      </c>
      <c r="V68" s="47">
        <v>75.6</v>
      </c>
      <c r="W68" s="44">
        <v>20</v>
      </c>
      <c r="X68" s="44">
        <v>7</v>
      </c>
      <c r="Y68" s="44">
        <f>H68*13</f>
        <v>365.3</v>
      </c>
      <c r="Z68" s="46">
        <v>10.3</v>
      </c>
      <c r="AA68" s="44">
        <v>69</v>
      </c>
      <c r="AB68" s="43">
        <f>(A68*746-(O68/100*(A68*746)))/(O68/100)</f>
        <v>1581.4561027837237</v>
      </c>
      <c r="AC68" s="43">
        <f>(A68*746*0.75-(Q68/100*(A68*0.75*746)))/(Q68/100)</f>
        <v>1147.6923076923094</v>
      </c>
      <c r="AD68" s="43">
        <f>AE68+1</f>
        <v>9</v>
      </c>
      <c r="AE68" s="43">
        <v>8</v>
      </c>
      <c r="AF68" s="43">
        <v>60</v>
      </c>
      <c r="AG68" s="43">
        <v>443</v>
      </c>
      <c r="AH68" s="44">
        <f>AG68*$BB$1</f>
        <v>575.9</v>
      </c>
      <c r="AI68" s="43">
        <v>144</v>
      </c>
      <c r="AJ68" s="52">
        <f>$BB$1*3.1</f>
        <v>4.03</v>
      </c>
      <c r="AK68" s="43">
        <v>404</v>
      </c>
      <c r="AL68" s="43" t="s">
        <v>108</v>
      </c>
      <c r="AM68" s="43">
        <v>63</v>
      </c>
      <c r="AN68" s="44">
        <v>81</v>
      </c>
      <c r="AO68" s="43" t="s">
        <v>125</v>
      </c>
      <c r="AP68" s="1">
        <v>60</v>
      </c>
      <c r="AQ68" s="1">
        <v>80</v>
      </c>
      <c r="AW68" s="43"/>
      <c r="BA68" s="49"/>
    </row>
    <row r="69" spans="1:53" ht="14.25">
      <c r="A69" s="44">
        <v>30</v>
      </c>
      <c r="B69" s="44">
        <v>3600</v>
      </c>
      <c r="C69" s="45" t="s">
        <v>128</v>
      </c>
      <c r="D69" s="45" t="s">
        <v>128</v>
      </c>
      <c r="E69" s="43" t="s">
        <v>139</v>
      </c>
      <c r="F69" s="43">
        <v>3524</v>
      </c>
      <c r="G69" s="46">
        <v>4.8</v>
      </c>
      <c r="H69" s="47">
        <f>ROUND(A69*746*10000/(O69*T69*1.732*575),1)</f>
        <v>26</v>
      </c>
      <c r="I69" s="47">
        <f>ROUND(A69*0.75*746*10000/(Q69*U69*1.732*575),1)</f>
        <v>19.5</v>
      </c>
      <c r="J69" s="44">
        <v>174</v>
      </c>
      <c r="K69" s="47">
        <f>ROUND(A69*5250/F69,1)</f>
        <v>44.7</v>
      </c>
      <c r="L69" s="47">
        <f>ROUND(A69*5250*0.75/(B69-((B69-F69)*0.75)),1)</f>
        <v>33.3</v>
      </c>
      <c r="M69" s="44">
        <v>260</v>
      </c>
      <c r="N69" s="44">
        <v>250</v>
      </c>
      <c r="O69" s="47">
        <v>92.4</v>
      </c>
      <c r="P69" s="47">
        <f>A69*746/(A69*746+(AB69*1.1))*100</f>
        <v>91.70305676855895</v>
      </c>
      <c r="Q69" s="47">
        <v>93.1</v>
      </c>
      <c r="R69" s="47">
        <f>ROUND(A69*0.75*746/(A69*0.75*746+(AC69*1.1))*100,1)</f>
        <v>92.5</v>
      </c>
      <c r="S69" s="47">
        <v>92.1</v>
      </c>
      <c r="T69" s="47">
        <v>93.5</v>
      </c>
      <c r="U69" s="47">
        <v>92.8</v>
      </c>
      <c r="V69" s="47">
        <v>90.5</v>
      </c>
      <c r="W69" s="44">
        <v>20</v>
      </c>
      <c r="X69" s="44">
        <v>7</v>
      </c>
      <c r="Y69" s="44">
        <f>H69*13</f>
        <v>338</v>
      </c>
      <c r="Z69" s="46">
        <v>4.7</v>
      </c>
      <c r="AA69" s="44">
        <v>82</v>
      </c>
      <c r="AB69" s="43">
        <f>(A69*746-(O69/100*(A69*746)))/(O69/100)</f>
        <v>1840.779220779218</v>
      </c>
      <c r="AC69" s="43">
        <f>(A69*746*0.75-(Q69/100*(A69*0.75*746)))/(Q69/100)</f>
        <v>1244.0010741138572</v>
      </c>
      <c r="AD69" s="43">
        <f>AE69+1</f>
        <v>5</v>
      </c>
      <c r="AE69" s="43">
        <v>4</v>
      </c>
      <c r="AF69" s="43">
        <v>120</v>
      </c>
      <c r="AG69" s="43">
        <v>112</v>
      </c>
      <c r="AH69" s="44">
        <f>AG69*$BB$1</f>
        <v>145.6</v>
      </c>
      <c r="AI69" s="43">
        <v>31</v>
      </c>
      <c r="AJ69" s="52">
        <f>$BB$1*2.7</f>
        <v>3.5100000000000002</v>
      </c>
      <c r="AK69" s="43">
        <v>462</v>
      </c>
      <c r="AL69" s="43" t="s">
        <v>108</v>
      </c>
      <c r="AM69" s="43">
        <v>58</v>
      </c>
      <c r="AN69" s="44">
        <v>75</v>
      </c>
      <c r="AO69" s="43" t="s">
        <v>125</v>
      </c>
      <c r="AP69" s="1">
        <v>60</v>
      </c>
      <c r="AQ69" s="1">
        <v>80</v>
      </c>
      <c r="AW69" s="43"/>
      <c r="BA69" s="49"/>
    </row>
    <row r="70" spans="1:53" ht="14.25">
      <c r="A70" s="44"/>
      <c r="B70" s="43"/>
      <c r="C70" s="51"/>
      <c r="D70" s="51"/>
      <c r="E70" s="43"/>
      <c r="F70" s="43"/>
      <c r="G70" s="46"/>
      <c r="H70" s="43"/>
      <c r="I70" s="47"/>
      <c r="J70" s="44"/>
      <c r="K70" s="52"/>
      <c r="L70" s="5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6"/>
      <c r="AA70" s="43"/>
      <c r="AB70" s="43"/>
      <c r="AC70" s="43"/>
      <c r="AD70" s="43"/>
      <c r="AE70" s="43"/>
      <c r="AF70" s="43"/>
      <c r="AG70" s="43"/>
      <c r="AH70" s="44"/>
      <c r="AI70" s="43"/>
      <c r="AJ70" s="52"/>
      <c r="AK70" s="43"/>
      <c r="AL70" s="43"/>
      <c r="AM70" s="43"/>
      <c r="AN70" s="43"/>
      <c r="AO70" s="43"/>
      <c r="AW70" s="43"/>
      <c r="BA70" s="49"/>
    </row>
    <row r="71" spans="1:53" ht="14.25">
      <c r="A71" s="44">
        <v>40</v>
      </c>
      <c r="B71" s="44">
        <v>900</v>
      </c>
      <c r="C71" s="45" t="s">
        <v>137</v>
      </c>
      <c r="D71" s="45" t="s">
        <v>132</v>
      </c>
      <c r="E71" s="43" t="s">
        <v>140</v>
      </c>
      <c r="F71" s="43">
        <v>877</v>
      </c>
      <c r="G71" s="46">
        <v>19.6</v>
      </c>
      <c r="H71" s="47">
        <f>ROUND(A71*746*10000/(O71*T71*1.732*575),1)</f>
        <v>43.2</v>
      </c>
      <c r="I71" s="47">
        <f>ROUND(A71*0.75*746*10000/(Q71*U71*1.732*575),1)</f>
        <v>34.3</v>
      </c>
      <c r="J71" s="44">
        <v>218</v>
      </c>
      <c r="K71" s="44">
        <f>ROUND(A71*5250/F71,0)</f>
        <v>239</v>
      </c>
      <c r="L71" s="53">
        <f>ROUND(A71*5250*0.75/(B71-((B71-F71)*0.75)),0)</f>
        <v>178</v>
      </c>
      <c r="M71" s="44">
        <v>220</v>
      </c>
      <c r="N71" s="44">
        <v>213</v>
      </c>
      <c r="O71" s="47">
        <v>91</v>
      </c>
      <c r="P71" s="47">
        <f>A71*746/(A71*746+(AB71*1.1))*100</f>
        <v>90.18830525272548</v>
      </c>
      <c r="Q71" s="47">
        <v>91.7</v>
      </c>
      <c r="R71" s="47">
        <f>ROUND(A71*0.75*746/(A71*0.75*746+(AC71*1.2))*100,1)</f>
        <v>90.2</v>
      </c>
      <c r="S71" s="47">
        <v>91.3</v>
      </c>
      <c r="T71" s="47">
        <v>76.2</v>
      </c>
      <c r="U71" s="47">
        <v>71.5</v>
      </c>
      <c r="V71" s="47">
        <v>61.6</v>
      </c>
      <c r="W71" s="44">
        <v>29</v>
      </c>
      <c r="X71" s="44">
        <v>11</v>
      </c>
      <c r="Y71" s="44">
        <f>H71*13</f>
        <v>561.6</v>
      </c>
      <c r="Z71" s="46"/>
      <c r="AA71" s="44">
        <v>60</v>
      </c>
      <c r="AB71" s="43">
        <f>(A71*746-(O71/100*(A71*746)))/(O71/100)</f>
        <v>2951.2087912087895</v>
      </c>
      <c r="AC71" s="43">
        <f>(A71*746*0.75-(Q71/100*(A71*0.75*746)))/(Q71/100)</f>
        <v>2025.6706652126509</v>
      </c>
      <c r="AD71" s="43"/>
      <c r="AE71" s="43"/>
      <c r="AF71" s="43"/>
      <c r="AG71" s="43">
        <v>3170</v>
      </c>
      <c r="AH71" s="44">
        <f>AG71*1</f>
        <v>3170</v>
      </c>
      <c r="AI71" s="43">
        <v>1007</v>
      </c>
      <c r="AJ71" s="52" t="s">
        <v>107</v>
      </c>
      <c r="AK71" s="43">
        <v>920</v>
      </c>
      <c r="AL71" s="43" t="s">
        <v>108</v>
      </c>
      <c r="AM71" s="43">
        <v>50</v>
      </c>
      <c r="AN71" s="44">
        <v>64</v>
      </c>
      <c r="AO71" s="43" t="s">
        <v>125</v>
      </c>
      <c r="AP71" s="1" t="s">
        <v>110</v>
      </c>
      <c r="AQ71" s="1" t="s">
        <v>110</v>
      </c>
      <c r="AW71" s="43"/>
      <c r="BA71" s="49"/>
    </row>
    <row r="72" spans="1:53" ht="14.25">
      <c r="A72" s="44">
        <v>40</v>
      </c>
      <c r="B72" s="44">
        <v>1200</v>
      </c>
      <c r="C72" s="45" t="s">
        <v>137</v>
      </c>
      <c r="D72" s="45" t="s">
        <v>132</v>
      </c>
      <c r="E72" s="43" t="s">
        <v>138</v>
      </c>
      <c r="F72" s="43">
        <v>1176</v>
      </c>
      <c r="G72" s="46">
        <v>11.6</v>
      </c>
      <c r="H72" s="47">
        <f>ROUND(A72*746*10000/(O72*T72*1.732*575),1)</f>
        <v>37.5</v>
      </c>
      <c r="I72" s="47">
        <f>ROUND(A72*0.75*746*10000/(Q72*U72*1.732*575),1)</f>
        <v>28.9</v>
      </c>
      <c r="J72" s="44">
        <v>232</v>
      </c>
      <c r="K72" s="44">
        <f>ROUND(A72*5250/F72,0)</f>
        <v>179</v>
      </c>
      <c r="L72" s="53">
        <f>ROUND(A72*5250*0.75/(B72-((B72-F72)*0.75)),0)</f>
        <v>133</v>
      </c>
      <c r="M72" s="44">
        <v>245</v>
      </c>
      <c r="N72" s="44">
        <v>260</v>
      </c>
      <c r="O72" s="47">
        <v>94</v>
      </c>
      <c r="P72" s="47">
        <v>93.6</v>
      </c>
      <c r="Q72" s="47">
        <v>94.6</v>
      </c>
      <c r="R72" s="47">
        <f>ROUND(A72*0.75*746/(A72*0.75*746+(AC72*1.1))*100,1)</f>
        <v>94.1</v>
      </c>
      <c r="S72" s="47">
        <v>94.5</v>
      </c>
      <c r="T72" s="47">
        <v>84.9</v>
      </c>
      <c r="U72" s="47">
        <v>82.2</v>
      </c>
      <c r="V72" s="47">
        <v>74.8</v>
      </c>
      <c r="W72" s="44">
        <v>40</v>
      </c>
      <c r="X72" s="44">
        <v>20</v>
      </c>
      <c r="Y72" s="44">
        <f>H72*13</f>
        <v>487.5</v>
      </c>
      <c r="Z72" s="46">
        <v>11.6</v>
      </c>
      <c r="AA72" s="44">
        <v>66</v>
      </c>
      <c r="AB72" s="43">
        <f>(A72*746-(O72/100*(A72*746)))/(O72/100)</f>
        <v>1904.6808510638314</v>
      </c>
      <c r="AC72" s="43">
        <f>(A72*746*0.75-(Q72/100*(A72*0.75*746)))/(Q72/100)</f>
        <v>1277.5052854122628</v>
      </c>
      <c r="AD72" s="43">
        <f>AE72+1</f>
        <v>10</v>
      </c>
      <c r="AE72" s="43">
        <v>9</v>
      </c>
      <c r="AF72" s="43">
        <v>57</v>
      </c>
      <c r="AG72" s="43">
        <v>1900</v>
      </c>
      <c r="AH72" s="44">
        <f>AG72*$BB$1</f>
        <v>2470</v>
      </c>
      <c r="AI72" s="43">
        <v>503</v>
      </c>
      <c r="AJ72" s="47">
        <f>$BB$1*13.6</f>
        <v>17.680000000000003</v>
      </c>
      <c r="AK72" s="43">
        <v>714</v>
      </c>
      <c r="AL72" s="43" t="s">
        <v>108</v>
      </c>
      <c r="AM72" s="43">
        <v>51</v>
      </c>
      <c r="AN72" s="44">
        <v>69</v>
      </c>
      <c r="AO72" s="43" t="s">
        <v>125</v>
      </c>
      <c r="AP72" s="1">
        <v>30</v>
      </c>
      <c r="AQ72" s="1">
        <v>85</v>
      </c>
      <c r="AW72" s="43"/>
      <c r="BA72" s="49"/>
    </row>
    <row r="73" spans="1:53" ht="14.25">
      <c r="A73" s="44">
        <v>40</v>
      </c>
      <c r="B73" s="44">
        <v>1800</v>
      </c>
      <c r="C73" s="45" t="s">
        <v>132</v>
      </c>
      <c r="D73" s="45" t="s">
        <v>132</v>
      </c>
      <c r="E73" s="43" t="s">
        <v>134</v>
      </c>
      <c r="F73" s="43">
        <v>1770</v>
      </c>
      <c r="G73" s="46">
        <v>12.8</v>
      </c>
      <c r="H73" s="47">
        <f>ROUND(A73*746*10000/(O73*T73*1.732*575),1)</f>
        <v>38.3</v>
      </c>
      <c r="I73" s="47">
        <f>ROUND(A73*0.75*746*10000/(Q73*U73*1.732*575),1)</f>
        <v>29.6</v>
      </c>
      <c r="J73" s="44">
        <v>232</v>
      </c>
      <c r="K73" s="44">
        <f>ROUND(A73*5250/F73,0)</f>
        <v>119</v>
      </c>
      <c r="L73" s="47">
        <f>ROUND(A73*5250*0.75/(B73-((B73-F73)*0.75)),1)</f>
        <v>88.6</v>
      </c>
      <c r="M73" s="44">
        <v>250</v>
      </c>
      <c r="N73" s="44">
        <v>260</v>
      </c>
      <c r="O73" s="47">
        <v>94</v>
      </c>
      <c r="P73" s="47">
        <v>93.6</v>
      </c>
      <c r="Q73" s="47">
        <v>94.4</v>
      </c>
      <c r="R73" s="47">
        <f>ROUND(A73*0.75*746/(A73*0.75*746+(AC73*1.1))*100,1)</f>
        <v>93.9</v>
      </c>
      <c r="S73" s="47">
        <v>94.1</v>
      </c>
      <c r="T73" s="47">
        <v>83.2</v>
      </c>
      <c r="U73" s="47">
        <v>80.4</v>
      </c>
      <c r="V73" s="47">
        <v>72.9</v>
      </c>
      <c r="W73" s="44">
        <v>25</v>
      </c>
      <c r="X73" s="44">
        <v>11</v>
      </c>
      <c r="Y73" s="44">
        <f>H73*13</f>
        <v>497.9</v>
      </c>
      <c r="Z73" s="46">
        <v>12.7</v>
      </c>
      <c r="AA73" s="44">
        <v>71</v>
      </c>
      <c r="AB73" s="43">
        <f>(A73*746-(O73/100*(A73*746)))/(O73/100)</f>
        <v>1904.6808510638314</v>
      </c>
      <c r="AC73" s="43">
        <f>(A73*746*0.75-(Q73/100*(A73*0.75*746)))/(Q73/100)</f>
        <v>1327.6271186440665</v>
      </c>
      <c r="AD73" s="43">
        <f>AE73+1</f>
        <v>9</v>
      </c>
      <c r="AE73" s="43">
        <v>8</v>
      </c>
      <c r="AF73" s="43">
        <v>65</v>
      </c>
      <c r="AG73" s="43">
        <v>593</v>
      </c>
      <c r="AH73" s="44">
        <f>AG73*$BB$1</f>
        <v>770.9</v>
      </c>
      <c r="AI73" s="43">
        <v>189</v>
      </c>
      <c r="AJ73" s="52">
        <f>$BB$1*6.5</f>
        <v>8.450000000000001</v>
      </c>
      <c r="AK73" s="43">
        <v>568</v>
      </c>
      <c r="AL73" s="43" t="s">
        <v>108</v>
      </c>
      <c r="AM73" s="43">
        <v>54</v>
      </c>
      <c r="AN73" s="44">
        <v>67</v>
      </c>
      <c r="AO73" s="43" t="s">
        <v>125</v>
      </c>
      <c r="AP73" s="1">
        <v>30</v>
      </c>
      <c r="AQ73" s="1">
        <v>80</v>
      </c>
      <c r="AW73" s="43"/>
      <c r="BA73" s="49"/>
    </row>
    <row r="74" spans="1:53" ht="14.25">
      <c r="A74" s="44">
        <v>40</v>
      </c>
      <c r="B74" s="44">
        <v>3600</v>
      </c>
      <c r="C74" s="45" t="s">
        <v>132</v>
      </c>
      <c r="D74" s="45" t="s">
        <v>132</v>
      </c>
      <c r="E74" s="43" t="s">
        <v>141</v>
      </c>
      <c r="F74" s="43">
        <v>3535</v>
      </c>
      <c r="G74" s="46">
        <v>8.8</v>
      </c>
      <c r="H74" s="47">
        <f>ROUND(A74*746*10000/(O74*T74*1.732*575),1)</f>
        <v>35.9</v>
      </c>
      <c r="I74" s="47">
        <f>ROUND(A74*0.75*746*10000/(Q74*U74*1.732*575),1)</f>
        <v>27</v>
      </c>
      <c r="J74" s="44">
        <v>232</v>
      </c>
      <c r="K74" s="47">
        <f>ROUND(A74*5250/F74,1)</f>
        <v>59.4</v>
      </c>
      <c r="L74" s="47">
        <f>ROUND(A74*5250*0.75/(B74-((B74-F74)*0.75)),1)</f>
        <v>44.4</v>
      </c>
      <c r="M74" s="44">
        <v>260</v>
      </c>
      <c r="N74" s="44">
        <v>240</v>
      </c>
      <c r="O74" s="47">
        <v>93.1</v>
      </c>
      <c r="P74" s="47">
        <f>A74*746/(A74*746+(AB74*1.1))*100</f>
        <v>92.46201211639685</v>
      </c>
      <c r="Q74" s="47">
        <v>93.4</v>
      </c>
      <c r="R74" s="47">
        <f>ROUND(A74*0.75*746/(A74*0.75*746+(AC74*1.1))*100,1)</f>
        <v>92.8</v>
      </c>
      <c r="S74" s="47">
        <v>92.8</v>
      </c>
      <c r="T74" s="47">
        <v>89.7</v>
      </c>
      <c r="U74" s="47">
        <v>89.2</v>
      </c>
      <c r="V74" s="47">
        <v>84.3</v>
      </c>
      <c r="W74" s="44">
        <v>28</v>
      </c>
      <c r="X74" s="44">
        <v>11</v>
      </c>
      <c r="Y74" s="44">
        <f>H74*13</f>
        <v>466.7</v>
      </c>
      <c r="Z74" s="46">
        <v>8.7</v>
      </c>
      <c r="AA74" s="44">
        <v>80</v>
      </c>
      <c r="AB74" s="43">
        <f>(A74*746-(O74/100*(A74*746)))/(O74/100)</f>
        <v>2211.5574650913027</v>
      </c>
      <c r="AC74" s="43">
        <f>(A74*746*0.75-(Q74/100*(A74*0.75*746)))/(Q74/100)</f>
        <v>1581.4561027837237</v>
      </c>
      <c r="AD74" s="43">
        <f>AE74+1</f>
        <v>5</v>
      </c>
      <c r="AE74" s="43">
        <v>4</v>
      </c>
      <c r="AF74" s="43">
        <v>130</v>
      </c>
      <c r="AG74" s="43">
        <v>137</v>
      </c>
      <c r="AH74" s="44">
        <f>AG74*$BB$1</f>
        <v>178.1</v>
      </c>
      <c r="AI74" s="43">
        <v>40</v>
      </c>
      <c r="AJ74" s="52">
        <f>$BB$1*4.1</f>
        <v>5.330000000000001</v>
      </c>
      <c r="AK74" s="43">
        <v>574</v>
      </c>
      <c r="AL74" s="43" t="s">
        <v>108</v>
      </c>
      <c r="AM74" s="43">
        <v>63</v>
      </c>
      <c r="AN74" s="44">
        <v>87</v>
      </c>
      <c r="AO74" s="43" t="s">
        <v>125</v>
      </c>
      <c r="AP74" s="1">
        <v>40</v>
      </c>
      <c r="AQ74" s="1">
        <v>85</v>
      </c>
      <c r="AW74" s="43"/>
      <c r="BA74" s="49"/>
    </row>
    <row r="75" spans="1:53" ht="14.25">
      <c r="A75" s="44"/>
      <c r="B75" s="43"/>
      <c r="C75" s="51"/>
      <c r="D75" s="51"/>
      <c r="E75" s="43"/>
      <c r="F75" s="43"/>
      <c r="G75" s="46"/>
      <c r="H75" s="43"/>
      <c r="I75" s="47"/>
      <c r="J75" s="44"/>
      <c r="K75" s="52"/>
      <c r="L75" s="5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6"/>
      <c r="AA75" s="43"/>
      <c r="AB75" s="43"/>
      <c r="AC75" s="43"/>
      <c r="AD75" s="43"/>
      <c r="AE75" s="43"/>
      <c r="AF75" s="43"/>
      <c r="AG75" s="43"/>
      <c r="AH75" s="44"/>
      <c r="AI75" s="43"/>
      <c r="AJ75" s="52"/>
      <c r="AK75" s="43"/>
      <c r="AL75" s="43"/>
      <c r="AM75" s="43"/>
      <c r="AN75" s="43"/>
      <c r="AO75" s="43"/>
      <c r="AW75" s="43"/>
      <c r="BA75" s="49"/>
    </row>
    <row r="76" spans="1:53" ht="14.25">
      <c r="A76" s="44">
        <v>50</v>
      </c>
      <c r="B76" s="44">
        <v>900</v>
      </c>
      <c r="C76" s="45" t="s">
        <v>142</v>
      </c>
      <c r="D76" s="45" t="s">
        <v>143</v>
      </c>
      <c r="E76" s="43" t="s">
        <v>144</v>
      </c>
      <c r="F76" s="43">
        <v>879</v>
      </c>
      <c r="G76" s="46">
        <v>16</v>
      </c>
      <c r="H76" s="47">
        <f>ROUND(A76*746*10000/(O76*T76*1.732*575),1)</f>
        <v>49.6</v>
      </c>
      <c r="I76" s="47">
        <f>ROUND(A76*0.75*746*10000/(Q76*U76*1.732*575),1)</f>
        <v>37.6</v>
      </c>
      <c r="J76" s="44">
        <v>282</v>
      </c>
      <c r="K76" s="44">
        <f>ROUND(A76*5250/F76,0)</f>
        <v>299</v>
      </c>
      <c r="L76" s="53">
        <f>ROUND(A76*5250*0.75/(B76-((B76-F76)*0.75)),0)</f>
        <v>223</v>
      </c>
      <c r="M76" s="44">
        <v>150</v>
      </c>
      <c r="N76" s="44">
        <v>225</v>
      </c>
      <c r="O76" s="47">
        <v>91</v>
      </c>
      <c r="P76" s="47">
        <f>A76*746/(A76*746+(AB76*1.1))*100</f>
        <v>90.18830525272547</v>
      </c>
      <c r="Q76" s="47">
        <v>92</v>
      </c>
      <c r="R76" s="47">
        <f>ROUND(A76*0.75*746/(A76*0.75*746+(AC76*1.2))*100,1)</f>
        <v>90.6</v>
      </c>
      <c r="S76" s="47">
        <v>91.3</v>
      </c>
      <c r="T76" s="47">
        <v>83</v>
      </c>
      <c r="U76" s="47">
        <v>81.2</v>
      </c>
      <c r="V76" s="47">
        <v>74.6</v>
      </c>
      <c r="W76" s="44">
        <v>29</v>
      </c>
      <c r="X76" s="44">
        <v>11</v>
      </c>
      <c r="Y76" s="44">
        <f>H76*13</f>
        <v>644.8000000000001</v>
      </c>
      <c r="Z76" s="46"/>
      <c r="AA76" s="44">
        <v>66</v>
      </c>
      <c r="AB76" s="43">
        <f>(A76*746-(O76/100*(A76*746)))/(O76/100)</f>
        <v>3689.010989010989</v>
      </c>
      <c r="AC76" s="43">
        <f>(A76*746*0.75-(Q76/100*(A76*0.75*746)))/(Q76/100)</f>
        <v>2432.608695652174</v>
      </c>
      <c r="AD76" s="43"/>
      <c r="AE76" s="43"/>
      <c r="AF76" s="43"/>
      <c r="AG76" s="43">
        <v>4300</v>
      </c>
      <c r="AH76" s="44">
        <f>AG76*1</f>
        <v>4300</v>
      </c>
      <c r="AI76" s="43">
        <v>1241</v>
      </c>
      <c r="AJ76" s="52" t="s">
        <v>107</v>
      </c>
      <c r="AK76" s="43">
        <v>1150</v>
      </c>
      <c r="AL76" s="43" t="s">
        <v>108</v>
      </c>
      <c r="AM76" s="43">
        <v>55</v>
      </c>
      <c r="AN76" s="44">
        <v>74</v>
      </c>
      <c r="AO76" s="43" t="s">
        <v>125</v>
      </c>
      <c r="AP76" s="1" t="s">
        <v>110</v>
      </c>
      <c r="AQ76" s="1" t="s">
        <v>110</v>
      </c>
      <c r="AW76" s="43"/>
      <c r="BA76" s="49"/>
    </row>
    <row r="77" spans="1:53" ht="14.25">
      <c r="A77" s="44">
        <v>50</v>
      </c>
      <c r="B77" s="44">
        <v>1200</v>
      </c>
      <c r="C77" s="45" t="s">
        <v>137</v>
      </c>
      <c r="D77" s="45" t="s">
        <v>132</v>
      </c>
      <c r="E77" s="43" t="s">
        <v>140</v>
      </c>
      <c r="F77" s="43">
        <v>1175</v>
      </c>
      <c r="G77" s="46">
        <v>14.8</v>
      </c>
      <c r="H77" s="47">
        <f>ROUND(A77*746*10000/(O77*T77*1.732*575),1)</f>
        <v>47.9</v>
      </c>
      <c r="I77" s="47">
        <f>ROUND(A77*0.75*746*10000/(Q77*U77*1.732*575),1)</f>
        <v>37.2</v>
      </c>
      <c r="J77" s="44">
        <v>290</v>
      </c>
      <c r="K77" s="44">
        <f>ROUND(A77*5250/F77,0)</f>
        <v>223</v>
      </c>
      <c r="L77" s="53">
        <f>ROUND(A77*5250*0.75/(B77-((B77-F77)*0.75)),0)</f>
        <v>167</v>
      </c>
      <c r="M77" s="44">
        <v>250</v>
      </c>
      <c r="N77" s="44">
        <v>264</v>
      </c>
      <c r="O77" s="47">
        <v>93.6</v>
      </c>
      <c r="P77" s="47">
        <v>93.6</v>
      </c>
      <c r="Q77" s="47">
        <v>94.4</v>
      </c>
      <c r="R77" s="47">
        <f>ROUND(A77*0.75*746/(A77*0.75*746+(AC77*1.1))*100,1)</f>
        <v>93.9</v>
      </c>
      <c r="S77" s="47">
        <v>94.3</v>
      </c>
      <c r="T77" s="47">
        <v>83.5</v>
      </c>
      <c r="U77" s="47">
        <v>79.9</v>
      </c>
      <c r="V77" s="47">
        <v>71</v>
      </c>
      <c r="W77" s="44">
        <v>40</v>
      </c>
      <c r="X77" s="44">
        <v>18</v>
      </c>
      <c r="Y77" s="44">
        <f>H77*13</f>
        <v>622.6999999999999</v>
      </c>
      <c r="Z77" s="46">
        <v>14.7</v>
      </c>
      <c r="AA77" s="44">
        <v>67</v>
      </c>
      <c r="AB77" s="43">
        <f>(A77*746-(O77/100*(A77*746)))/(O77/100)</f>
        <v>2550.427350427355</v>
      </c>
      <c r="AC77" s="43">
        <f>(A77*746*0.75-(Q77/100*(A77*0.75*746)))/(Q77/100)</f>
        <v>1659.533898305083</v>
      </c>
      <c r="AD77" s="43">
        <f>AE77+1</f>
        <v>9</v>
      </c>
      <c r="AE77" s="43">
        <v>8</v>
      </c>
      <c r="AF77" s="43">
        <v>64</v>
      </c>
      <c r="AG77" s="43">
        <v>2090</v>
      </c>
      <c r="AH77" s="44">
        <f>AG77*$BB$1</f>
        <v>2717</v>
      </c>
      <c r="AI77" s="43">
        <v>620</v>
      </c>
      <c r="AJ77" s="47">
        <f>$BB$1*17.2</f>
        <v>22.36</v>
      </c>
      <c r="AK77" s="43">
        <v>793</v>
      </c>
      <c r="AL77" s="43" t="s">
        <v>108</v>
      </c>
      <c r="AM77" s="43">
        <v>63</v>
      </c>
      <c r="AN77" s="44">
        <v>83</v>
      </c>
      <c r="AO77" s="43" t="s">
        <v>125</v>
      </c>
      <c r="AP77" s="1">
        <v>30</v>
      </c>
      <c r="AQ77" s="1">
        <v>80</v>
      </c>
      <c r="AW77" s="43"/>
      <c r="BA77" s="49"/>
    </row>
    <row r="78" spans="1:53" ht="14.25">
      <c r="A78" s="44">
        <v>50</v>
      </c>
      <c r="B78" s="44">
        <v>1800</v>
      </c>
      <c r="C78" s="45" t="s">
        <v>132</v>
      </c>
      <c r="D78" s="45" t="s">
        <v>132</v>
      </c>
      <c r="E78" s="43" t="s">
        <v>135</v>
      </c>
      <c r="F78" s="43">
        <v>1771</v>
      </c>
      <c r="G78" s="46">
        <v>16</v>
      </c>
      <c r="H78" s="47">
        <f>ROUND(A78*746*10000/(O78*T78*1.732*575),1)</f>
        <v>47.3</v>
      </c>
      <c r="I78" s="47">
        <f>ROUND(A78*0.75*746*10000/(Q78*U78*1.732*575),1)</f>
        <v>36.6</v>
      </c>
      <c r="J78" s="44">
        <v>290</v>
      </c>
      <c r="K78" s="44">
        <f>ROUND(A78*5250/F78,0)</f>
        <v>148</v>
      </c>
      <c r="L78" s="53">
        <f>ROUND(A78*5250*0.75/(B78-((B78-F78)*0.75)),0)</f>
        <v>111</v>
      </c>
      <c r="M78" s="44">
        <v>260</v>
      </c>
      <c r="N78" s="44">
        <v>240</v>
      </c>
      <c r="O78" s="47">
        <v>94</v>
      </c>
      <c r="P78" s="47">
        <v>93.6</v>
      </c>
      <c r="Q78" s="47">
        <v>94.2</v>
      </c>
      <c r="R78" s="47">
        <f>ROUND(A78*0.75*746/(A78*0.75*746+(AC78*1.1))*100,1)</f>
        <v>93.7</v>
      </c>
      <c r="S78" s="47">
        <v>93.9</v>
      </c>
      <c r="T78" s="47">
        <v>84.2</v>
      </c>
      <c r="U78" s="47">
        <v>81.4</v>
      </c>
      <c r="V78" s="47">
        <v>74.5</v>
      </c>
      <c r="W78" s="44">
        <v>22</v>
      </c>
      <c r="X78" s="44">
        <v>10</v>
      </c>
      <c r="Y78" s="44">
        <f>H78*13</f>
        <v>614.9</v>
      </c>
      <c r="Z78" s="46">
        <v>16</v>
      </c>
      <c r="AA78" s="44">
        <v>71</v>
      </c>
      <c r="AB78" s="43">
        <f>(A78*746-(O78/100*(A78*746)))/(O78/100)</f>
        <v>2380.8510638297876</v>
      </c>
      <c r="AC78" s="43">
        <f>(A78*746*0.75-(Q78/100*(A78*0.75*746)))/(Q78/100)</f>
        <v>1722.4522292993622</v>
      </c>
      <c r="AD78" s="43">
        <f>AE78+1</f>
        <v>8</v>
      </c>
      <c r="AE78" s="43">
        <v>7</v>
      </c>
      <c r="AF78" s="43">
        <v>72</v>
      </c>
      <c r="AG78" s="43">
        <v>625</v>
      </c>
      <c r="AH78" s="44">
        <f>AG78*$BB$1</f>
        <v>812.5</v>
      </c>
      <c r="AI78" s="43">
        <v>232</v>
      </c>
      <c r="AJ78" s="52">
        <f>$BB$1*7.1</f>
        <v>9.23</v>
      </c>
      <c r="AK78" s="43">
        <v>595</v>
      </c>
      <c r="AL78" s="43" t="s">
        <v>108</v>
      </c>
      <c r="AM78" s="43">
        <v>51</v>
      </c>
      <c r="AN78" s="44">
        <v>67</v>
      </c>
      <c r="AO78" s="43" t="s">
        <v>125</v>
      </c>
      <c r="AP78" s="1">
        <v>30</v>
      </c>
      <c r="AQ78" s="1">
        <v>80</v>
      </c>
      <c r="AW78" s="43"/>
      <c r="BA78" s="49"/>
    </row>
    <row r="79" spans="1:53" ht="14.25">
      <c r="A79" s="44">
        <v>50</v>
      </c>
      <c r="B79" s="44">
        <v>3600</v>
      </c>
      <c r="C79" s="45" t="s">
        <v>132</v>
      </c>
      <c r="D79" s="45" t="s">
        <v>132</v>
      </c>
      <c r="E79" s="43" t="s">
        <v>145</v>
      </c>
      <c r="F79" s="43">
        <v>3533</v>
      </c>
      <c r="G79" s="46">
        <v>9.6</v>
      </c>
      <c r="H79" s="47">
        <f>ROUND(A79*746*10000/(O79*T79*1.732*575),1)</f>
        <v>44.3</v>
      </c>
      <c r="I79" s="47">
        <f>ROUND(A79*0.75*746*10000/(Q79*U79*1.732*575),1)</f>
        <v>33.6</v>
      </c>
      <c r="J79" s="44">
        <v>290</v>
      </c>
      <c r="K79" s="47">
        <f>ROUND(A79*5250/F79,1)</f>
        <v>74.3</v>
      </c>
      <c r="L79" s="47">
        <f>ROUND(A79*5250*0.75/(B79-((B79-F79)*0.75)),1)</f>
        <v>55.5</v>
      </c>
      <c r="M79" s="44">
        <v>270</v>
      </c>
      <c r="N79" s="44">
        <v>270</v>
      </c>
      <c r="O79" s="47">
        <v>93</v>
      </c>
      <c r="P79" s="47">
        <f>A79*746/(A79*746+(AB79*1.1))*100</f>
        <v>92.35352532274081</v>
      </c>
      <c r="Q79" s="47">
        <v>93.3</v>
      </c>
      <c r="R79" s="47">
        <f>ROUND(A79*0.75*746/(A79*0.75*746+(AC79*1.1))*100,1)</f>
        <v>92.7</v>
      </c>
      <c r="S79" s="47">
        <v>92.6</v>
      </c>
      <c r="T79" s="47">
        <v>90.9</v>
      </c>
      <c r="U79" s="47">
        <v>89.7</v>
      </c>
      <c r="V79" s="47">
        <v>86</v>
      </c>
      <c r="W79" s="44">
        <v>23</v>
      </c>
      <c r="X79" s="44">
        <v>10</v>
      </c>
      <c r="Y79" s="44">
        <f>H79*13</f>
        <v>575.9</v>
      </c>
      <c r="Z79" s="46">
        <v>9.5</v>
      </c>
      <c r="AA79" s="44">
        <v>81</v>
      </c>
      <c r="AB79" s="43">
        <f>(A79*746-(O79/100*(A79*746)))/(O79/100)</f>
        <v>2807.52688172043</v>
      </c>
      <c r="AC79" s="43">
        <f>(A79*746*0.75-(Q79/100*(A79*0.75*746)))/(Q79/100)</f>
        <v>2008.9228295819944</v>
      </c>
      <c r="AD79" s="43">
        <f>AE79+1</f>
        <v>5</v>
      </c>
      <c r="AE79" s="43">
        <v>4</v>
      </c>
      <c r="AF79" s="43">
        <v>145</v>
      </c>
      <c r="AG79" s="43">
        <v>156</v>
      </c>
      <c r="AH79" s="44">
        <f>AG79*$BB$1</f>
        <v>202.8</v>
      </c>
      <c r="AI79" s="43">
        <v>49</v>
      </c>
      <c r="AJ79" s="52">
        <f>$BB$1*4.9</f>
        <v>6.370000000000001</v>
      </c>
      <c r="AK79" s="43">
        <v>690</v>
      </c>
      <c r="AL79" s="43" t="s">
        <v>108</v>
      </c>
      <c r="AM79" s="43">
        <v>67</v>
      </c>
      <c r="AN79" s="44">
        <v>90</v>
      </c>
      <c r="AO79" s="43" t="s">
        <v>125</v>
      </c>
      <c r="AP79" s="1">
        <v>60</v>
      </c>
      <c r="AQ79" s="1">
        <v>75</v>
      </c>
      <c r="AW79" s="43"/>
      <c r="BA79" s="49"/>
    </row>
    <row r="80" spans="1:53" ht="14.25">
      <c r="A80" s="44"/>
      <c r="B80" s="43"/>
      <c r="C80" s="51"/>
      <c r="D80" s="51"/>
      <c r="E80" s="43"/>
      <c r="F80" s="43"/>
      <c r="G80" s="46"/>
      <c r="H80" s="43"/>
      <c r="I80" s="47"/>
      <c r="J80" s="44"/>
      <c r="K80" s="52"/>
      <c r="L80" s="52"/>
      <c r="M80" s="43"/>
      <c r="N80" s="43"/>
      <c r="O80" s="47"/>
      <c r="P80" s="43"/>
      <c r="Q80" s="47"/>
      <c r="R80" s="43"/>
      <c r="S80" s="47"/>
      <c r="T80" s="47"/>
      <c r="U80" s="43"/>
      <c r="V80" s="43"/>
      <c r="W80" s="43"/>
      <c r="X80" s="43"/>
      <c r="Y80" s="43"/>
      <c r="Z80" s="46"/>
      <c r="AA80" s="43"/>
      <c r="AB80" s="43"/>
      <c r="AC80" s="43"/>
      <c r="AD80" s="43"/>
      <c r="AE80" s="43"/>
      <c r="AF80" s="43"/>
      <c r="AG80" s="43"/>
      <c r="AH80" s="44"/>
      <c r="AI80" s="43"/>
      <c r="AJ80" s="52"/>
      <c r="AK80" s="43"/>
      <c r="AL80" s="43"/>
      <c r="AM80" s="43"/>
      <c r="AN80" s="43"/>
      <c r="AO80" s="43"/>
      <c r="AW80" s="43"/>
      <c r="BA80" s="49"/>
    </row>
    <row r="81" spans="1:53" ht="14.25">
      <c r="A81" s="44">
        <v>60</v>
      </c>
      <c r="B81" s="44">
        <v>900</v>
      </c>
      <c r="C81" s="45" t="s">
        <v>142</v>
      </c>
      <c r="D81" s="45" t="s">
        <v>143</v>
      </c>
      <c r="E81" s="43" t="s">
        <v>146</v>
      </c>
      <c r="F81" s="43">
        <v>880</v>
      </c>
      <c r="G81" s="46">
        <v>21.6</v>
      </c>
      <c r="H81" s="47">
        <f>ROUND(A81*746*10000/(O81*T81*1.732*575),1)</f>
        <v>60.8</v>
      </c>
      <c r="I81" s="47">
        <f>ROUND(A81*0.75*746*10000/(Q81*U81*1.732*575),1)</f>
        <v>47.5</v>
      </c>
      <c r="J81" s="44">
        <v>344</v>
      </c>
      <c r="K81" s="44">
        <f>ROUND(A81*5250/F81,0)</f>
        <v>358</v>
      </c>
      <c r="L81" s="53">
        <f>ROUND(A81*5250*0.75/(B81-((B81-F81)*0.75)),0)</f>
        <v>267</v>
      </c>
      <c r="M81" s="44">
        <v>190</v>
      </c>
      <c r="N81" s="44">
        <v>230</v>
      </c>
      <c r="O81" s="47">
        <v>91</v>
      </c>
      <c r="P81" s="47">
        <f>A81*746/(A81*746+(AB81*1.1))*100</f>
        <v>90.18830525272547</v>
      </c>
      <c r="Q81" s="43">
        <v>91.3</v>
      </c>
      <c r="R81" s="47">
        <f>ROUND(A81*0.75*746/(A81*0.75*746+(AC81*1.2))*100,1)</f>
        <v>89.7</v>
      </c>
      <c r="S81" s="43">
        <v>91.3</v>
      </c>
      <c r="T81" s="47">
        <v>81.2</v>
      </c>
      <c r="U81" s="47">
        <v>77.8</v>
      </c>
      <c r="V81" s="47">
        <v>69.9</v>
      </c>
      <c r="W81" s="44">
        <v>29</v>
      </c>
      <c r="X81" s="44">
        <v>10</v>
      </c>
      <c r="Y81" s="44">
        <f>H81*13</f>
        <v>790.4</v>
      </c>
      <c r="Z81" s="46"/>
      <c r="AA81" s="44">
        <v>68</v>
      </c>
      <c r="AB81" s="43">
        <f>(A81*746-(O81/100*(A81*746)))/(O81/100)</f>
        <v>4426.813186813189</v>
      </c>
      <c r="AC81" s="43">
        <f>(A81*746*0.75-(Q81/100*(A81*0.75*746)))/(Q81/100)</f>
        <v>3198.8937568455685</v>
      </c>
      <c r="AD81" s="43"/>
      <c r="AE81" s="43"/>
      <c r="AF81" s="43"/>
      <c r="AG81" s="43">
        <v>4600</v>
      </c>
      <c r="AH81" s="44">
        <f>AG81*1</f>
        <v>4600</v>
      </c>
      <c r="AI81" s="43">
        <v>1473</v>
      </c>
      <c r="AJ81" s="52" t="s">
        <v>107</v>
      </c>
      <c r="AK81" s="43">
        <v>1495</v>
      </c>
      <c r="AL81" s="43" t="s">
        <v>108</v>
      </c>
      <c r="AM81" s="43">
        <v>65</v>
      </c>
      <c r="AN81" s="44">
        <v>90</v>
      </c>
      <c r="AO81" s="43" t="s">
        <v>125</v>
      </c>
      <c r="AP81" s="1" t="s">
        <v>110</v>
      </c>
      <c r="AQ81" s="1" t="s">
        <v>110</v>
      </c>
      <c r="AW81" s="43"/>
      <c r="BA81" s="49"/>
    </row>
    <row r="82" spans="1:53" ht="14.25">
      <c r="A82" s="44">
        <v>60</v>
      </c>
      <c r="B82" s="44">
        <v>1200</v>
      </c>
      <c r="C82" s="45" t="s">
        <v>142</v>
      </c>
      <c r="D82" s="45" t="s">
        <v>143</v>
      </c>
      <c r="E82" s="43" t="s">
        <v>144</v>
      </c>
      <c r="F82" s="43">
        <v>1187</v>
      </c>
      <c r="G82" s="46">
        <v>20.8</v>
      </c>
      <c r="H82" s="47">
        <f>ROUND(A82*746*10000/(O82*T82*1.732*575),1)</f>
        <v>58.1</v>
      </c>
      <c r="I82" s="47">
        <f>ROUND(A82*0.75*746*10000/(Q82*U82*1.732*575),1)</f>
        <v>45.7</v>
      </c>
      <c r="J82" s="44">
        <v>348</v>
      </c>
      <c r="K82" s="44">
        <f>ROUND(A82*5250/F82,0)</f>
        <v>265</v>
      </c>
      <c r="L82" s="53">
        <f>ROUND(A82*5250*0.75/(B82-((B82-F82)*0.75)),0)</f>
        <v>198</v>
      </c>
      <c r="M82" s="44">
        <v>210</v>
      </c>
      <c r="N82" s="44">
        <v>244</v>
      </c>
      <c r="O82" s="47">
        <v>95</v>
      </c>
      <c r="P82" s="47">
        <f>A82*746/(A82*746+(AB82*1.1))*100</f>
        <v>94.52736318407959</v>
      </c>
      <c r="Q82" s="47">
        <v>95.1</v>
      </c>
      <c r="R82" s="47">
        <f>ROUND(A82*0.75*746/(A82*0.75*746+(AC82*1.1))*100,1)</f>
        <v>94.6</v>
      </c>
      <c r="S82" s="47">
        <v>94.6</v>
      </c>
      <c r="T82" s="47">
        <v>81.4</v>
      </c>
      <c r="U82" s="47">
        <v>77.5</v>
      </c>
      <c r="V82" s="47">
        <v>69.5</v>
      </c>
      <c r="W82" s="44">
        <v>38</v>
      </c>
      <c r="X82" s="44">
        <v>20</v>
      </c>
      <c r="Y82" s="44">
        <f>H82*13</f>
        <v>755.3000000000001</v>
      </c>
      <c r="Z82" s="46">
        <v>20.7</v>
      </c>
      <c r="AA82" s="44">
        <v>70</v>
      </c>
      <c r="AB82" s="43">
        <f>(A82*746-(O82/100*(A82*746)))/(O82/100)</f>
        <v>2355.789473684211</v>
      </c>
      <c r="AC82" s="43">
        <f>(A82*746*0.75-(Q82/100*(A82*0.75*746)))/(Q82/100)</f>
        <v>1729.6845425867511</v>
      </c>
      <c r="AD82" s="43">
        <f>AE82+1</f>
        <v>8</v>
      </c>
      <c r="AE82" s="43">
        <v>7</v>
      </c>
      <c r="AF82" s="43">
        <v>75</v>
      </c>
      <c r="AG82" s="43">
        <v>2630</v>
      </c>
      <c r="AH82" s="44">
        <f>AG82*$BB$1</f>
        <v>3419</v>
      </c>
      <c r="AI82" s="43">
        <v>735</v>
      </c>
      <c r="AJ82" s="47">
        <f>$BB$1*24.3</f>
        <v>31.590000000000003</v>
      </c>
      <c r="AK82" s="43">
        <v>1144</v>
      </c>
      <c r="AL82" s="43" t="s">
        <v>108</v>
      </c>
      <c r="AM82" s="43">
        <v>58</v>
      </c>
      <c r="AN82" s="44">
        <v>70</v>
      </c>
      <c r="AO82" s="43" t="s">
        <v>125</v>
      </c>
      <c r="AP82" s="1">
        <v>30</v>
      </c>
      <c r="AQ82" s="1">
        <v>90</v>
      </c>
      <c r="AW82" s="43"/>
      <c r="BA82" s="49"/>
    </row>
    <row r="83" spans="1:53" ht="14.25">
      <c r="A83" s="44">
        <v>60</v>
      </c>
      <c r="B83" s="44">
        <v>1800</v>
      </c>
      <c r="C83" s="45" t="s">
        <v>137</v>
      </c>
      <c r="D83" s="45" t="s">
        <v>132</v>
      </c>
      <c r="E83" s="43" t="s">
        <v>138</v>
      </c>
      <c r="F83" s="43">
        <v>1777</v>
      </c>
      <c r="G83" s="46">
        <v>17.6</v>
      </c>
      <c r="H83" s="47">
        <f>ROUND(A83*746*10000/(O83*T83*1.732*575),1)</f>
        <v>56.3</v>
      </c>
      <c r="I83" s="47">
        <f>ROUND(A83*0.75*746*10000/(Q83*U83*1.732*575),1)</f>
        <v>43.4</v>
      </c>
      <c r="J83" s="44">
        <v>348</v>
      </c>
      <c r="K83" s="44">
        <f>ROUND(A83*5250/F83,0)</f>
        <v>177</v>
      </c>
      <c r="L83" s="53">
        <f>ROUND(A83*5250*0.75/(B83-((B83-F83)*0.75)),0)</f>
        <v>133</v>
      </c>
      <c r="M83" s="44">
        <v>216</v>
      </c>
      <c r="N83" s="44">
        <v>274</v>
      </c>
      <c r="O83" s="47">
        <v>95.1</v>
      </c>
      <c r="P83" s="47">
        <f>A83*746/(A83*746+(AB83*1.1))*100</f>
        <v>94.63628221713601</v>
      </c>
      <c r="Q83" s="47">
        <v>95.2</v>
      </c>
      <c r="R83" s="47">
        <f>ROUND(A83*0.75*746/(A83*0.75*746+(AC83*1.1))*100,1)</f>
        <v>94.7</v>
      </c>
      <c r="S83" s="47">
        <v>94.6</v>
      </c>
      <c r="T83" s="47">
        <v>84</v>
      </c>
      <c r="U83" s="47">
        <v>81.5</v>
      </c>
      <c r="V83" s="47">
        <v>74.9</v>
      </c>
      <c r="W83" s="44">
        <v>21</v>
      </c>
      <c r="X83" s="44">
        <v>8</v>
      </c>
      <c r="Y83" s="44">
        <f>H83*13</f>
        <v>731.9</v>
      </c>
      <c r="Z83" s="46">
        <v>17.5</v>
      </c>
      <c r="AA83" s="44">
        <v>72</v>
      </c>
      <c r="AB83" s="43">
        <f>(A83*746-(O83/100*(A83*746)))/(O83/100)</f>
        <v>2306.24605678234</v>
      </c>
      <c r="AC83" s="43">
        <f>(A83*746*0.75-(Q83/100*(A83*0.75*746)))/(Q83/100)</f>
        <v>1692.6050420168033</v>
      </c>
      <c r="AD83" s="43">
        <f>AE83+1</f>
        <v>7</v>
      </c>
      <c r="AE83" s="43">
        <v>6</v>
      </c>
      <c r="AF83" s="43">
        <v>85</v>
      </c>
      <c r="AG83" s="43">
        <v>770</v>
      </c>
      <c r="AH83" s="44">
        <f>AG83*$BB$1</f>
        <v>1001</v>
      </c>
      <c r="AI83" s="43">
        <v>275</v>
      </c>
      <c r="AJ83" s="47">
        <f>$BB$1*10.7</f>
        <v>13.910000000000002</v>
      </c>
      <c r="AK83" s="43">
        <v>741</v>
      </c>
      <c r="AL83" s="43" t="s">
        <v>108</v>
      </c>
      <c r="AM83" s="43">
        <v>51</v>
      </c>
      <c r="AN83" s="44">
        <v>62</v>
      </c>
      <c r="AO83" s="43" t="s">
        <v>125</v>
      </c>
      <c r="AP83" s="1">
        <v>60</v>
      </c>
      <c r="AQ83" s="1">
        <v>50</v>
      </c>
      <c r="AW83" s="43"/>
      <c r="BA83" s="49"/>
    </row>
    <row r="84" spans="1:53" ht="14.25">
      <c r="A84" s="44">
        <v>60</v>
      </c>
      <c r="B84" s="44">
        <v>3600</v>
      </c>
      <c r="C84" s="45" t="s">
        <v>132</v>
      </c>
      <c r="D84" s="45" t="s">
        <v>132</v>
      </c>
      <c r="E84" s="43" t="s">
        <v>147</v>
      </c>
      <c r="F84" s="43">
        <v>3547</v>
      </c>
      <c r="G84" s="46">
        <v>14.8</v>
      </c>
      <c r="H84" s="47">
        <f>ROUND(A84*746*10000/(O84*T84*1.732*575),1)</f>
        <v>53.8</v>
      </c>
      <c r="I84" s="47">
        <f>ROUND(A84*0.75*746*10000/(Q84*U84*1.732*575),1)</f>
        <v>41</v>
      </c>
      <c r="J84" s="44">
        <v>348</v>
      </c>
      <c r="K84" s="47">
        <f>ROUND(A84*5250/F84,1)</f>
        <v>88.8</v>
      </c>
      <c r="L84" s="47">
        <f>ROUND(A84*5250*0.75/(B84-((B84-F84)*0.75)),1)</f>
        <v>66.4</v>
      </c>
      <c r="M84" s="44">
        <v>230</v>
      </c>
      <c r="N84" s="44">
        <v>280</v>
      </c>
      <c r="O84" s="47">
        <v>93.8</v>
      </c>
      <c r="P84" s="47">
        <f>A84*746/(A84*746+(AB84*1.1))*100</f>
        <v>93.22202345458159</v>
      </c>
      <c r="Q84" s="47">
        <v>94</v>
      </c>
      <c r="R84" s="47">
        <f>ROUND(A84*0.75*746/(A84*0.75*746+(AC84*1.1))*100,1)</f>
        <v>93.4</v>
      </c>
      <c r="S84" s="47">
        <v>93.7</v>
      </c>
      <c r="T84" s="47">
        <v>89</v>
      </c>
      <c r="U84" s="47">
        <v>87.5</v>
      </c>
      <c r="V84" s="47">
        <v>82.6</v>
      </c>
      <c r="W84" s="44">
        <v>29</v>
      </c>
      <c r="X84" s="44">
        <v>10</v>
      </c>
      <c r="Y84" s="44">
        <f>H84*13</f>
        <v>699.4</v>
      </c>
      <c r="Z84" s="46">
        <v>14.7</v>
      </c>
      <c r="AA84" s="44">
        <v>85</v>
      </c>
      <c r="AB84" s="43">
        <f>(A84*746-(O84/100*(A84*746)))/(O84/100)</f>
        <v>2958.550106609811</v>
      </c>
      <c r="AC84" s="43">
        <f>(A84*746*0.75-(Q84/100*(A84*0.75*746)))/(Q84/100)</f>
        <v>2142.7659574468094</v>
      </c>
      <c r="AD84" s="43">
        <f>AE84+1</f>
        <v>4</v>
      </c>
      <c r="AE84" s="43">
        <v>3</v>
      </c>
      <c r="AF84" s="43">
        <v>170</v>
      </c>
      <c r="AG84" s="43">
        <v>169</v>
      </c>
      <c r="AH84" s="44">
        <f>AG84*$BB$1</f>
        <v>219.70000000000002</v>
      </c>
      <c r="AI84" s="43">
        <v>58</v>
      </c>
      <c r="AJ84" s="47">
        <f>$BB$1*7.7</f>
        <v>10.01</v>
      </c>
      <c r="AK84" s="43">
        <v>845</v>
      </c>
      <c r="AL84" s="43" t="s">
        <v>108</v>
      </c>
      <c r="AM84" s="43">
        <v>63</v>
      </c>
      <c r="AN84" s="44">
        <v>85</v>
      </c>
      <c r="AO84" s="43" t="s">
        <v>125</v>
      </c>
      <c r="AP84" s="1">
        <v>40</v>
      </c>
      <c r="AQ84" s="1">
        <v>80</v>
      </c>
      <c r="AW84" s="43"/>
      <c r="BA84" s="49"/>
    </row>
    <row r="85" spans="1:53" ht="14.25">
      <c r="A85" s="44"/>
      <c r="B85" s="43"/>
      <c r="C85" s="51"/>
      <c r="D85" s="51"/>
      <c r="E85" s="43"/>
      <c r="F85" s="43"/>
      <c r="G85" s="46"/>
      <c r="H85" s="43"/>
      <c r="I85" s="47"/>
      <c r="J85" s="44"/>
      <c r="K85" s="52"/>
      <c r="L85" s="5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6"/>
      <c r="AA85" s="43"/>
      <c r="AB85" s="43"/>
      <c r="AC85" s="43"/>
      <c r="AD85" s="43"/>
      <c r="AE85" s="43"/>
      <c r="AF85" s="43"/>
      <c r="AG85" s="43"/>
      <c r="AH85" s="44"/>
      <c r="AI85" s="43"/>
      <c r="AJ85" s="52"/>
      <c r="AK85" s="43"/>
      <c r="AL85" s="43"/>
      <c r="AM85" s="43"/>
      <c r="AN85" s="43"/>
      <c r="AO85" s="43"/>
      <c r="AW85" s="43"/>
      <c r="BA85" s="49"/>
    </row>
    <row r="86" spans="1:53" ht="14.25">
      <c r="A86" s="44">
        <v>75</v>
      </c>
      <c r="B86" s="44">
        <v>900</v>
      </c>
      <c r="C86" s="45" t="s">
        <v>148</v>
      </c>
      <c r="D86" s="45" t="s">
        <v>149</v>
      </c>
      <c r="E86" s="43" t="s">
        <v>150</v>
      </c>
      <c r="F86" s="43">
        <v>882</v>
      </c>
      <c r="G86" s="46">
        <v>26.4</v>
      </c>
      <c r="H86" s="47">
        <f>ROUND(A86*746*10000/(O86*T86*1.732*575),1)</f>
        <v>76.4</v>
      </c>
      <c r="I86" s="47">
        <f>ROUND(A86*0.75*746*10000/(Q86*U86*1.732*575),1)</f>
        <v>59.2</v>
      </c>
      <c r="J86" s="44">
        <v>432</v>
      </c>
      <c r="K86" s="44">
        <f>ROUND(A86*5250/F86,0)</f>
        <v>446</v>
      </c>
      <c r="L86" s="53">
        <f>ROUND(A86*5250*0.75/(B86-((B86-F86)*0.75)),0)</f>
        <v>333</v>
      </c>
      <c r="M86" s="44">
        <v>175</v>
      </c>
      <c r="N86" s="44">
        <v>250</v>
      </c>
      <c r="O86" s="47">
        <v>91.7</v>
      </c>
      <c r="P86" s="47">
        <f>A86*746/(A86*746+(AB86*1.1))*100</f>
        <v>90.94515521174253</v>
      </c>
      <c r="Q86" s="47">
        <v>92.3</v>
      </c>
      <c r="R86" s="47">
        <f>ROUND(A86*0.75*746/(A86*0.75*746+(AC86*1.2))*100,1)</f>
        <v>90.9</v>
      </c>
      <c r="S86" s="47">
        <v>92</v>
      </c>
      <c r="T86" s="47">
        <v>80.2</v>
      </c>
      <c r="U86" s="47">
        <v>77.1</v>
      </c>
      <c r="V86" s="47">
        <v>68.2</v>
      </c>
      <c r="W86" s="44">
        <v>29</v>
      </c>
      <c r="X86" s="44">
        <v>10</v>
      </c>
      <c r="Y86" s="44">
        <f>H86*13</f>
        <v>993.2</v>
      </c>
      <c r="Z86" s="46"/>
      <c r="AA86" s="44">
        <v>69</v>
      </c>
      <c r="AB86" s="43">
        <f>(A86*746-(O86/100*(A86*746)))/(O86/100)</f>
        <v>5064.176663031623</v>
      </c>
      <c r="AC86" s="43">
        <f>(A86*746*0.75-(Q86/100*(A86*0.75*746)))/(Q86/100)</f>
        <v>3500.663596966417</v>
      </c>
      <c r="AD86" s="43"/>
      <c r="AE86" s="43"/>
      <c r="AF86" s="43"/>
      <c r="AG86" s="43">
        <v>6170</v>
      </c>
      <c r="AH86" s="44">
        <f>AG86*1</f>
        <v>6170</v>
      </c>
      <c r="AI86" s="43">
        <v>1814</v>
      </c>
      <c r="AJ86" s="52" t="s">
        <v>107</v>
      </c>
      <c r="AK86" s="43">
        <v>1932</v>
      </c>
      <c r="AL86" s="43" t="s">
        <v>108</v>
      </c>
      <c r="AM86" s="43">
        <v>71</v>
      </c>
      <c r="AN86" s="44">
        <v>98</v>
      </c>
      <c r="AO86" s="43" t="s">
        <v>125</v>
      </c>
      <c r="AP86" s="1" t="s">
        <v>110</v>
      </c>
      <c r="AQ86" s="1" t="s">
        <v>110</v>
      </c>
      <c r="AW86" s="43"/>
      <c r="BA86" s="49"/>
    </row>
    <row r="87" spans="1:53" ht="14.25">
      <c r="A87" s="44">
        <v>75</v>
      </c>
      <c r="B87" s="44">
        <v>1200</v>
      </c>
      <c r="C87" s="45" t="s">
        <v>142</v>
      </c>
      <c r="D87" s="45" t="s">
        <v>143</v>
      </c>
      <c r="E87" s="43" t="s">
        <v>146</v>
      </c>
      <c r="F87" s="43">
        <v>1186</v>
      </c>
      <c r="G87" s="46">
        <v>25.6</v>
      </c>
      <c r="H87" s="47">
        <f>ROUND(A87*746*10000/(O87*T87*1.732*575),1)</f>
        <v>72.5</v>
      </c>
      <c r="I87" s="47">
        <f>ROUND(A87*0.75*746*10000/(Q87*U87*1.732*575),1)</f>
        <v>56.5</v>
      </c>
      <c r="J87" s="44">
        <v>434</v>
      </c>
      <c r="K87" s="44">
        <f>ROUND(A87*5250/F87,0)</f>
        <v>332</v>
      </c>
      <c r="L87" s="53">
        <f>ROUND(A87*5250*0.75/(B87-((B87-F87)*0.75)),0)</f>
        <v>248</v>
      </c>
      <c r="M87" s="44">
        <v>210</v>
      </c>
      <c r="N87" s="44">
        <v>241</v>
      </c>
      <c r="O87" s="47">
        <v>94.9</v>
      </c>
      <c r="P87" s="47">
        <f>A87*746/(A87*746+(AB87*1.1))*100</f>
        <v>94.4184658242961</v>
      </c>
      <c r="Q87" s="47">
        <v>95.1</v>
      </c>
      <c r="R87" s="47">
        <f>ROUND(A87*0.75*746/(A87*0.75*746+(AC87*1.1))*100,1)</f>
        <v>94.6</v>
      </c>
      <c r="S87" s="47">
        <v>94.5</v>
      </c>
      <c r="T87" s="47">
        <v>81.6</v>
      </c>
      <c r="U87" s="47">
        <v>78.4</v>
      </c>
      <c r="V87" s="47">
        <v>69.6</v>
      </c>
      <c r="W87" s="44">
        <v>28</v>
      </c>
      <c r="X87" s="44">
        <v>15</v>
      </c>
      <c r="Y87" s="44">
        <f>H87*13</f>
        <v>942.5</v>
      </c>
      <c r="Z87" s="46">
        <v>25.5</v>
      </c>
      <c r="AA87" s="44">
        <v>70</v>
      </c>
      <c r="AB87" s="43">
        <f>(A87*746-(O87/100*(A87*746)))/(O87/100)</f>
        <v>3006.7966280295013</v>
      </c>
      <c r="AC87" s="43">
        <f>(A87*746*0.75-(Q87/100*(A87*0.75*746)))/(Q87/100)</f>
        <v>2162.105678233437</v>
      </c>
      <c r="AD87" s="43">
        <f>AE87+1</f>
        <v>8</v>
      </c>
      <c r="AE87" s="43">
        <v>7</v>
      </c>
      <c r="AF87" s="43">
        <v>79</v>
      </c>
      <c r="AG87" s="43">
        <v>2930</v>
      </c>
      <c r="AH87" s="44">
        <f>AG87*$BB$1</f>
        <v>3809</v>
      </c>
      <c r="AI87" s="43">
        <v>904</v>
      </c>
      <c r="AJ87" s="47">
        <f>$BB$1*48.1</f>
        <v>62.53</v>
      </c>
      <c r="AK87" s="43">
        <v>1292</v>
      </c>
      <c r="AL87" s="43" t="s">
        <v>108</v>
      </c>
      <c r="AM87" s="43">
        <v>46</v>
      </c>
      <c r="AN87" s="44">
        <v>60</v>
      </c>
      <c r="AO87" s="43" t="s">
        <v>125</v>
      </c>
      <c r="AP87" s="1">
        <v>30</v>
      </c>
      <c r="AQ87" s="1">
        <v>90</v>
      </c>
      <c r="AW87" s="43"/>
      <c r="BA87" s="49"/>
    </row>
    <row r="88" spans="1:53" ht="14.25">
      <c r="A88" s="44">
        <v>75</v>
      </c>
      <c r="B88" s="44">
        <v>1800</v>
      </c>
      <c r="C88" s="45" t="s">
        <v>137</v>
      </c>
      <c r="D88" s="45" t="s">
        <v>132</v>
      </c>
      <c r="E88" s="43" t="s">
        <v>140</v>
      </c>
      <c r="F88" s="43">
        <v>1775</v>
      </c>
      <c r="G88" s="46">
        <v>23.2</v>
      </c>
      <c r="H88" s="47">
        <f>ROUND(A88*746*10000/(O88*T88*1.732*575),1)</f>
        <v>70.3</v>
      </c>
      <c r="I88" s="47">
        <f>ROUND(A88*0.75*746*10000/(Q88*U88*1.732*575),1)</f>
        <v>54.6</v>
      </c>
      <c r="J88" s="44">
        <v>434</v>
      </c>
      <c r="K88" s="44">
        <f>ROUND(A88*5250/F88,0)</f>
        <v>222</v>
      </c>
      <c r="L88" s="53">
        <f>ROUND(A88*5250*0.75/(B88-((B88-F88)*0.75)),0)</f>
        <v>166</v>
      </c>
      <c r="M88" s="44">
        <v>200</v>
      </c>
      <c r="N88" s="44">
        <v>270</v>
      </c>
      <c r="O88" s="47">
        <v>95.3</v>
      </c>
      <c r="P88" s="47">
        <f>A88*746/(A88*746+(AB88*1.1))*100</f>
        <v>94.85418532895392</v>
      </c>
      <c r="Q88" s="47">
        <v>95.5</v>
      </c>
      <c r="R88" s="47">
        <f>ROUND(A88*0.75*746/(A88*0.75*746+(AC88*1.1))*100,1)</f>
        <v>95.1</v>
      </c>
      <c r="S88" s="47">
        <v>95</v>
      </c>
      <c r="T88" s="47">
        <v>83.8</v>
      </c>
      <c r="U88" s="47">
        <v>80.8</v>
      </c>
      <c r="V88" s="47">
        <v>73.9</v>
      </c>
      <c r="W88" s="44">
        <v>20</v>
      </c>
      <c r="X88" s="44">
        <v>7</v>
      </c>
      <c r="Y88" s="44">
        <f>H88*13</f>
        <v>913.9</v>
      </c>
      <c r="Z88" s="46">
        <v>23.1</v>
      </c>
      <c r="AA88" s="44">
        <v>79</v>
      </c>
      <c r="AB88" s="43">
        <f>(A88*746-(O88/100*(A88*746)))/(O88/100)</f>
        <v>2759.3389296956993</v>
      </c>
      <c r="AC88" s="43">
        <f>(A88*746*0.75-(Q88/100*(A88*0.75*746)))/(Q88/100)</f>
        <v>1977.2905759162304</v>
      </c>
      <c r="AD88" s="43">
        <f>AE88+1</f>
        <v>7</v>
      </c>
      <c r="AE88" s="43">
        <v>6</v>
      </c>
      <c r="AF88" s="43">
        <v>90</v>
      </c>
      <c r="AG88" s="43">
        <v>862</v>
      </c>
      <c r="AH88" s="44">
        <f>AG88*$BB$1</f>
        <v>1120.6000000000001</v>
      </c>
      <c r="AI88" s="43">
        <v>338</v>
      </c>
      <c r="AJ88" s="47">
        <f>$BB$1*13.6</f>
        <v>17.680000000000003</v>
      </c>
      <c r="AK88" s="43">
        <v>853</v>
      </c>
      <c r="AL88" s="43" t="s">
        <v>108</v>
      </c>
      <c r="AM88" s="43">
        <v>58</v>
      </c>
      <c r="AN88" s="44">
        <v>74</v>
      </c>
      <c r="AO88" s="43" t="s">
        <v>125</v>
      </c>
      <c r="AP88" s="1">
        <v>60</v>
      </c>
      <c r="AQ88" s="1">
        <v>30</v>
      </c>
      <c r="AW88" s="43"/>
      <c r="BA88" s="49"/>
    </row>
    <row r="89" spans="1:53" ht="14.25">
      <c r="A89" s="44">
        <v>75</v>
      </c>
      <c r="B89" s="44">
        <v>3600</v>
      </c>
      <c r="C89" s="45" t="s">
        <v>132</v>
      </c>
      <c r="D89" s="45" t="s">
        <v>132</v>
      </c>
      <c r="E89" s="43" t="s">
        <v>151</v>
      </c>
      <c r="F89" s="43">
        <v>3540</v>
      </c>
      <c r="G89" s="46">
        <v>17.6</v>
      </c>
      <c r="H89" s="47">
        <f>ROUND(A89*746*10000/(O89*T89*1.732*575),1)</f>
        <v>67.9</v>
      </c>
      <c r="I89" s="47">
        <f>ROUND(A89*0.75*746*10000/(Q89*U89*1.732*575),1)</f>
        <v>51.6</v>
      </c>
      <c r="J89" s="44">
        <v>434</v>
      </c>
      <c r="K89" s="44">
        <f>ROUND(A89*5250/F89,0)</f>
        <v>111</v>
      </c>
      <c r="L89" s="47">
        <f>ROUND(A89*5250*0.75/(B89-((B89-F89)*0.75)),1)</f>
        <v>83.1</v>
      </c>
      <c r="M89" s="44">
        <v>260</v>
      </c>
      <c r="N89" s="44">
        <v>270</v>
      </c>
      <c r="O89" s="47">
        <v>93.5</v>
      </c>
      <c r="P89" s="47">
        <f>A89*746/(A89*746+(AB89*1.1))*100</f>
        <v>92.89617486338798</v>
      </c>
      <c r="Q89" s="47">
        <v>93.8</v>
      </c>
      <c r="R89" s="47">
        <f>ROUND(A89*0.75*746/(A89*0.75*746+(AC89*1.1))*100,1)</f>
        <v>93.2</v>
      </c>
      <c r="S89" s="47">
        <v>93.4</v>
      </c>
      <c r="T89" s="47">
        <v>88.5</v>
      </c>
      <c r="U89" s="47">
        <v>87</v>
      </c>
      <c r="V89" s="47">
        <v>82</v>
      </c>
      <c r="W89" s="44">
        <v>21</v>
      </c>
      <c r="X89" s="44">
        <v>8</v>
      </c>
      <c r="Y89" s="44">
        <f>H89*13</f>
        <v>882.7</v>
      </c>
      <c r="Z89" s="46">
        <v>17.5</v>
      </c>
      <c r="AA89" s="44">
        <v>85</v>
      </c>
      <c r="AB89" s="43">
        <f>(A89*746-(O89/100*(A89*746)))/(O89/100)</f>
        <v>3889.572192513369</v>
      </c>
      <c r="AC89" s="43">
        <f>(A89*746*0.75-(Q89/100*(A89*0.75*746)))/(Q89/100)</f>
        <v>2773.6407249466984</v>
      </c>
      <c r="AD89" s="43">
        <f>AE89+1</f>
        <v>4</v>
      </c>
      <c r="AE89" s="43">
        <v>3</v>
      </c>
      <c r="AF89" s="43">
        <v>180</v>
      </c>
      <c r="AG89" s="43">
        <v>194</v>
      </c>
      <c r="AH89" s="44">
        <f>AG89*$BB$1</f>
        <v>252.20000000000002</v>
      </c>
      <c r="AI89" s="43">
        <v>71</v>
      </c>
      <c r="AJ89" s="47">
        <f>$BB$1*8.9</f>
        <v>11.57</v>
      </c>
      <c r="AK89" s="43">
        <v>908</v>
      </c>
      <c r="AL89" s="43" t="s">
        <v>108</v>
      </c>
      <c r="AM89" s="43">
        <v>60</v>
      </c>
      <c r="AN89" s="44">
        <v>80</v>
      </c>
      <c r="AO89" s="43" t="s">
        <v>125</v>
      </c>
      <c r="AP89" s="1">
        <v>60</v>
      </c>
      <c r="AQ89" s="1">
        <v>80</v>
      </c>
      <c r="AW89" s="43"/>
      <c r="BA89" s="49"/>
    </row>
    <row r="90" spans="1:53" ht="14.25">
      <c r="A90" s="44"/>
      <c r="B90" s="44"/>
      <c r="C90" s="45"/>
      <c r="D90" s="45"/>
      <c r="E90" s="43"/>
      <c r="F90" s="43"/>
      <c r="G90" s="46"/>
      <c r="H90" s="47"/>
      <c r="I90" s="47"/>
      <c r="J90" s="44"/>
      <c r="K90" s="44"/>
      <c r="L90" s="44"/>
      <c r="M90" s="44"/>
      <c r="N90" s="44"/>
      <c r="O90" s="47"/>
      <c r="P90" s="47"/>
      <c r="Q90" s="47"/>
      <c r="R90" s="47"/>
      <c r="S90" s="47"/>
      <c r="T90" s="47"/>
      <c r="U90" s="47"/>
      <c r="V90" s="47"/>
      <c r="W90" s="44"/>
      <c r="X90" s="44"/>
      <c r="Y90" s="44"/>
      <c r="Z90" s="46"/>
      <c r="AA90" s="44"/>
      <c r="AB90" s="43"/>
      <c r="AC90" s="43"/>
      <c r="AD90" s="43"/>
      <c r="AE90" s="43"/>
      <c r="AF90" s="43"/>
      <c r="AG90" s="43"/>
      <c r="AH90" s="44"/>
      <c r="AI90" s="43"/>
      <c r="AJ90" s="47"/>
      <c r="AK90" s="43"/>
      <c r="AL90" s="43"/>
      <c r="AM90" s="43"/>
      <c r="AN90" s="44"/>
      <c r="AO90" s="43"/>
      <c r="AW90" s="43"/>
      <c r="BA90" s="49"/>
    </row>
    <row r="91" spans="1:53" ht="14.25">
      <c r="A91" s="44">
        <v>100</v>
      </c>
      <c r="B91" s="44">
        <v>900</v>
      </c>
      <c r="C91" s="45" t="s">
        <v>148</v>
      </c>
      <c r="D91" s="45" t="s">
        <v>149</v>
      </c>
      <c r="E91" s="43" t="s">
        <v>152</v>
      </c>
      <c r="F91" s="43">
        <v>881</v>
      </c>
      <c r="G91" s="46">
        <v>30.4</v>
      </c>
      <c r="H91" s="47">
        <f>ROUND(A91*746*10000/(O91*T91*1.732*575),1)</f>
        <v>97.4</v>
      </c>
      <c r="I91" s="47">
        <f>ROUND(A91*0.75*746*10000/(Q91*U91*1.732*575),1)</f>
        <v>76</v>
      </c>
      <c r="J91" s="44">
        <v>576</v>
      </c>
      <c r="K91" s="44">
        <f>ROUND(A91*5250/F91,0)</f>
        <v>596</v>
      </c>
      <c r="L91" s="53">
        <f>ROUND(A91*5250*0.75/(B91-((B91-F91)*0.75)),0)</f>
        <v>445</v>
      </c>
      <c r="M91" s="44">
        <v>190</v>
      </c>
      <c r="N91" s="44">
        <v>240</v>
      </c>
      <c r="O91" s="47">
        <v>92.4</v>
      </c>
      <c r="P91" s="47">
        <f>A91*746/(A91*746+(AB91*1.1))*100</f>
        <v>91.70305676855897</v>
      </c>
      <c r="Q91" s="47">
        <v>93</v>
      </c>
      <c r="R91" s="47">
        <f>ROUND(A91*0.75*746/(A91*0.75*746+(AC91*1.2))*100,1)</f>
        <v>91.7</v>
      </c>
      <c r="S91" s="47">
        <v>92.8</v>
      </c>
      <c r="T91" s="47">
        <v>83.2</v>
      </c>
      <c r="U91" s="47">
        <v>79.5</v>
      </c>
      <c r="V91" s="47">
        <v>73.1</v>
      </c>
      <c r="W91" s="44">
        <v>27</v>
      </c>
      <c r="X91" s="44">
        <v>9</v>
      </c>
      <c r="Y91" s="44">
        <f>H91*13</f>
        <v>1266.2</v>
      </c>
      <c r="Z91" s="46"/>
      <c r="AA91" s="43">
        <v>69</v>
      </c>
      <c r="AB91" s="43">
        <f>(A91*746-(O91/100*(A91*746)))/(O91/100)</f>
        <v>6135.930735930726</v>
      </c>
      <c r="AC91" s="43">
        <f>(A91*746*0.75-(Q91/100*(A91*0.75*746)))/(Q91/100)</f>
        <v>4211.290322580645</v>
      </c>
      <c r="AD91" s="43"/>
      <c r="AE91" s="43"/>
      <c r="AF91" s="43"/>
      <c r="AG91" s="43">
        <v>7080</v>
      </c>
      <c r="AH91" s="44">
        <f>AG91*1</f>
        <v>7080</v>
      </c>
      <c r="AI91" s="43">
        <v>2372</v>
      </c>
      <c r="AJ91" s="47">
        <v>85.4</v>
      </c>
      <c r="AK91" s="43">
        <v>2291</v>
      </c>
      <c r="AL91" s="43" t="s">
        <v>108</v>
      </c>
      <c r="AM91" s="43">
        <v>71</v>
      </c>
      <c r="AN91" s="44">
        <v>98</v>
      </c>
      <c r="AO91" s="43" t="s">
        <v>125</v>
      </c>
      <c r="AP91" s="1" t="s">
        <v>110</v>
      </c>
      <c r="AQ91" s="1" t="s">
        <v>110</v>
      </c>
      <c r="AW91" s="43"/>
      <c r="BA91" s="49"/>
    </row>
    <row r="92" spans="1:53" ht="14.25">
      <c r="A92" s="44">
        <v>100</v>
      </c>
      <c r="B92" s="44">
        <v>1200</v>
      </c>
      <c r="C92" s="45" t="s">
        <v>148</v>
      </c>
      <c r="D92" s="45" t="s">
        <v>149</v>
      </c>
      <c r="E92" s="43" t="s">
        <v>150</v>
      </c>
      <c r="F92" s="43">
        <v>1183</v>
      </c>
      <c r="G92" s="46">
        <v>32.8</v>
      </c>
      <c r="H92" s="47">
        <f>ROUND(A92*746*10000/(O92*T92*1.732*575),1)</f>
        <v>97.9</v>
      </c>
      <c r="I92" s="47">
        <f>ROUND(A92*0.75*746*10000/(Q92*U92*1.732*575),1)</f>
        <v>75.5</v>
      </c>
      <c r="J92" s="44">
        <v>580</v>
      </c>
      <c r="K92" s="44">
        <f>ROUND(A92*5250/F92,0)</f>
        <v>444</v>
      </c>
      <c r="L92" s="53">
        <f>ROUND(A92*5250*0.75/(B92-((B92-F92)*0.75)),0)</f>
        <v>332</v>
      </c>
      <c r="M92" s="44">
        <v>200</v>
      </c>
      <c r="N92" s="44">
        <v>225</v>
      </c>
      <c r="O92" s="47">
        <v>95.5</v>
      </c>
      <c r="P92" s="47">
        <f>A92*746/(A92*746+(AB92*1.1))*100</f>
        <v>95.07217521154804</v>
      </c>
      <c r="Q92" s="47">
        <v>95.7</v>
      </c>
      <c r="R92" s="47">
        <f>ROUND(A92*0.75*746/(A92*0.75*746+(AC92*1.1))*100,1)</f>
        <v>95.3</v>
      </c>
      <c r="S92" s="47">
        <v>95.2</v>
      </c>
      <c r="T92" s="47">
        <v>80.1</v>
      </c>
      <c r="U92" s="47">
        <v>77.8</v>
      </c>
      <c r="V92" s="47">
        <v>69.8</v>
      </c>
      <c r="W92" s="44">
        <v>18</v>
      </c>
      <c r="X92" s="44">
        <v>9</v>
      </c>
      <c r="Y92" s="44">
        <f>H92*13</f>
        <v>1272.7</v>
      </c>
      <c r="Z92" s="46">
        <v>32.6</v>
      </c>
      <c r="AA92" s="44">
        <v>76</v>
      </c>
      <c r="AB92" s="43">
        <f>(A92*746-(O92/100*(A92*746)))/(O92/100)</f>
        <v>3515.1832460732985</v>
      </c>
      <c r="AC92" s="43">
        <f>(A92*746*0.75-(Q92/100*(A92*0.75*746)))/(Q92/100)</f>
        <v>2513.9498432601863</v>
      </c>
      <c r="AD92" s="43">
        <f>AE92+1</f>
        <v>7</v>
      </c>
      <c r="AE92" s="43">
        <v>6</v>
      </c>
      <c r="AF92" s="43">
        <v>97</v>
      </c>
      <c r="AG92" s="43">
        <v>3300</v>
      </c>
      <c r="AH92" s="44">
        <f>AG92*$BB$1</f>
        <v>4290</v>
      </c>
      <c r="AI92" s="43">
        <v>1181</v>
      </c>
      <c r="AJ92" s="47">
        <f>$BB$1*44.5</f>
        <v>57.85</v>
      </c>
      <c r="AK92" s="43">
        <v>1764</v>
      </c>
      <c r="AL92" s="43" t="s">
        <v>108</v>
      </c>
      <c r="AM92" s="43">
        <v>62</v>
      </c>
      <c r="AN92" s="44">
        <v>81</v>
      </c>
      <c r="AO92" s="43" t="s">
        <v>125</v>
      </c>
      <c r="AP92" s="1">
        <v>60</v>
      </c>
      <c r="AQ92" s="1">
        <v>85</v>
      </c>
      <c r="AW92" s="43"/>
      <c r="BA92" s="49"/>
    </row>
    <row r="93" spans="1:53" ht="14.25">
      <c r="A93" s="44">
        <v>100</v>
      </c>
      <c r="B93" s="44">
        <v>1800</v>
      </c>
      <c r="C93" s="45" t="s">
        <v>142</v>
      </c>
      <c r="D93" s="45" t="s">
        <v>143</v>
      </c>
      <c r="E93" s="43" t="s">
        <v>146</v>
      </c>
      <c r="F93" s="43">
        <v>1776</v>
      </c>
      <c r="G93" s="46">
        <v>29.6</v>
      </c>
      <c r="H93" s="47">
        <f>ROUND(A93*746*10000/(O93*T93*1.732*575),1)</f>
        <v>93.4</v>
      </c>
      <c r="I93" s="47">
        <f>ROUND(A93*0.75*746*10000/(Q93*U93*1.732*575),1)</f>
        <v>72.4</v>
      </c>
      <c r="J93" s="44">
        <v>580</v>
      </c>
      <c r="K93" s="44">
        <f>ROUND(A93*5250/F93,0)</f>
        <v>296</v>
      </c>
      <c r="L93" s="53">
        <f>ROUND(A93*5250*0.75/(B93-((B93-F93)*0.75)),0)</f>
        <v>221</v>
      </c>
      <c r="M93" s="44">
        <v>200</v>
      </c>
      <c r="N93" s="44">
        <v>256</v>
      </c>
      <c r="O93" s="47">
        <v>95.4</v>
      </c>
      <c r="P93" s="47">
        <f>A93*746/(A93*746+(AB93*1.1))*100</f>
        <v>94.96316942066497</v>
      </c>
      <c r="Q93" s="47">
        <v>95.6</v>
      </c>
      <c r="R93" s="47">
        <f>ROUND(A93*0.75*746/(A93*0.75*746+(AC93*1.1))*100,1)</f>
        <v>95.2</v>
      </c>
      <c r="S93" s="47">
        <v>95.3</v>
      </c>
      <c r="T93" s="47">
        <v>84.1</v>
      </c>
      <c r="U93" s="47">
        <v>81.2</v>
      </c>
      <c r="V93" s="47">
        <v>74.3</v>
      </c>
      <c r="W93" s="44">
        <v>19</v>
      </c>
      <c r="X93" s="44">
        <v>9</v>
      </c>
      <c r="Y93" s="44">
        <f>H93*13</f>
        <v>1214.2</v>
      </c>
      <c r="Z93" s="46">
        <v>29.5</v>
      </c>
      <c r="AA93" s="44">
        <v>79</v>
      </c>
      <c r="AB93" s="43">
        <f>(A93*746-(O93/100*(A93*746)))/(O93/100)</f>
        <v>3597.0649895178103</v>
      </c>
      <c r="AC93" s="43">
        <f>(A93*746*0.75-(Q93/100*(A93*0.75*746)))/(Q93/100)</f>
        <v>2575.1046025104633</v>
      </c>
      <c r="AD93" s="43">
        <f>AE93+1</f>
        <v>6</v>
      </c>
      <c r="AE93" s="43">
        <v>5</v>
      </c>
      <c r="AF93" s="43">
        <v>110</v>
      </c>
      <c r="AG93" s="43">
        <v>1062</v>
      </c>
      <c r="AH93" s="44">
        <f>AG93*$BB$1</f>
        <v>1380.6000000000001</v>
      </c>
      <c r="AI93" s="43">
        <v>441</v>
      </c>
      <c r="AJ93" s="47">
        <f>$BB$1*21.9</f>
        <v>28.470000000000002</v>
      </c>
      <c r="AK93" s="43">
        <v>1324</v>
      </c>
      <c r="AL93" s="43" t="s">
        <v>108</v>
      </c>
      <c r="AM93" s="43">
        <v>69</v>
      </c>
      <c r="AN93" s="44">
        <v>87</v>
      </c>
      <c r="AO93" s="43" t="s">
        <v>125</v>
      </c>
      <c r="AP93" s="1">
        <v>60</v>
      </c>
      <c r="AQ93" s="1">
        <v>80</v>
      </c>
      <c r="AW93" s="43"/>
      <c r="BA93" s="49"/>
    </row>
    <row r="94" spans="1:53" ht="14.25">
      <c r="A94" s="44">
        <v>100</v>
      </c>
      <c r="B94" s="44">
        <v>3600</v>
      </c>
      <c r="C94" s="45" t="s">
        <v>143</v>
      </c>
      <c r="D94" s="45" t="s">
        <v>143</v>
      </c>
      <c r="E94" s="43" t="s">
        <v>153</v>
      </c>
      <c r="F94" s="43">
        <v>3557</v>
      </c>
      <c r="G94" s="46">
        <v>21.2</v>
      </c>
      <c r="H94" s="47">
        <f>ROUND(A94*746*10000/(O94*T94*1.732*575),1)</f>
        <v>89.8</v>
      </c>
      <c r="I94" s="47">
        <f>ROUND(A94*0.75*746*10000/(Q94*U94*1.732*575),1)</f>
        <v>68.6</v>
      </c>
      <c r="J94" s="44">
        <v>580</v>
      </c>
      <c r="K94" s="44">
        <f>ROUND(A94*5250/F94,0)</f>
        <v>148</v>
      </c>
      <c r="L94" s="53">
        <f>ROUND(A94*5250*0.75/(B94-((B94-F94)*0.75)),0)</f>
        <v>110</v>
      </c>
      <c r="M94" s="44">
        <v>215</v>
      </c>
      <c r="N94" s="44">
        <v>260</v>
      </c>
      <c r="O94" s="47">
        <v>95</v>
      </c>
      <c r="P94" s="47">
        <f>A94*746/(A94*746+(AB94*1.1))*100</f>
        <v>94.5273631840796</v>
      </c>
      <c r="Q94" s="47">
        <v>95</v>
      </c>
      <c r="R94" s="47">
        <f>ROUND(A94*0.75*746/(A94*0.75*746+(AC94*1.1))*100,1)</f>
        <v>94.5</v>
      </c>
      <c r="S94" s="47">
        <v>94.8</v>
      </c>
      <c r="T94" s="47">
        <v>87.8</v>
      </c>
      <c r="U94" s="47">
        <v>86.2</v>
      </c>
      <c r="V94" s="47">
        <v>81</v>
      </c>
      <c r="W94" s="44">
        <v>20</v>
      </c>
      <c r="X94" s="44">
        <v>10</v>
      </c>
      <c r="Y94" s="44">
        <f>H94*13</f>
        <v>1167.3999999999999</v>
      </c>
      <c r="Z94" s="46">
        <v>21.1</v>
      </c>
      <c r="AA94" s="44">
        <v>85</v>
      </c>
      <c r="AB94" s="43">
        <f>(A94*746-(O94/100*(A94*746)))/(O94/100)</f>
        <v>3926.3157894736846</v>
      </c>
      <c r="AC94" s="43">
        <f>(A94*746*0.75-(Q94/100*(A94*0.75*746)))/(Q94/100)</f>
        <v>2944.7368421052633</v>
      </c>
      <c r="AD94" s="43">
        <f>AE94+1</f>
        <v>4</v>
      </c>
      <c r="AE94" s="43">
        <v>3</v>
      </c>
      <c r="AF94" s="43">
        <v>220</v>
      </c>
      <c r="AG94" s="43">
        <v>262</v>
      </c>
      <c r="AH94" s="44">
        <f>AG94*$BB$1</f>
        <v>340.6</v>
      </c>
      <c r="AI94" s="43">
        <v>92</v>
      </c>
      <c r="AJ94" s="47">
        <f>$BB$1*15.4</f>
        <v>20.02</v>
      </c>
      <c r="AK94" s="43">
        <v>1357</v>
      </c>
      <c r="AL94" s="43" t="s">
        <v>108</v>
      </c>
      <c r="AM94" s="43">
        <v>67</v>
      </c>
      <c r="AN94" s="44">
        <v>89</v>
      </c>
      <c r="AO94" s="43" t="s">
        <v>125</v>
      </c>
      <c r="AP94" s="1">
        <v>60</v>
      </c>
      <c r="AQ94" s="1">
        <v>75</v>
      </c>
      <c r="AW94" s="43"/>
      <c r="BA94" s="49"/>
    </row>
    <row r="95" spans="1:53" ht="14.25">
      <c r="A95" s="44"/>
      <c r="B95" s="43"/>
      <c r="C95" s="45"/>
      <c r="D95" s="51"/>
      <c r="E95" s="43"/>
      <c r="F95" s="43"/>
      <c r="G95" s="46"/>
      <c r="H95" s="44"/>
      <c r="I95" s="47"/>
      <c r="J95" s="44"/>
      <c r="K95" s="44"/>
      <c r="L95" s="44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6"/>
      <c r="AA95" s="44"/>
      <c r="AB95" s="43"/>
      <c r="AC95" s="43"/>
      <c r="AD95" s="43"/>
      <c r="AE95" s="43"/>
      <c r="AF95" s="43"/>
      <c r="AG95" s="43"/>
      <c r="AH95" s="44"/>
      <c r="AI95" s="43"/>
      <c r="AJ95" s="47"/>
      <c r="AK95" s="43"/>
      <c r="AL95" s="43"/>
      <c r="AM95" s="43"/>
      <c r="AN95" s="43"/>
      <c r="AO95" s="43"/>
      <c r="AW95" s="43"/>
      <c r="BA95" s="49"/>
    </row>
    <row r="96" spans="1:53" ht="14.25">
      <c r="A96" s="44">
        <v>125</v>
      </c>
      <c r="B96" s="44">
        <v>900</v>
      </c>
      <c r="C96" s="45" t="s">
        <v>154</v>
      </c>
      <c r="D96" s="45" t="s">
        <v>149</v>
      </c>
      <c r="E96" s="43" t="s">
        <v>155</v>
      </c>
      <c r="F96" s="43">
        <v>885</v>
      </c>
      <c r="G96" s="46">
        <v>42</v>
      </c>
      <c r="H96" s="53">
        <f>ROUND(A96*746*10000/(O96*T96*1.732*575),0)</f>
        <v>125</v>
      </c>
      <c r="I96" s="47">
        <f>ROUND(A96*0.75*746*10000/(Q96*U96*1.732*575),1)</f>
        <v>96.9</v>
      </c>
      <c r="J96" s="44">
        <v>652</v>
      </c>
      <c r="K96" s="44">
        <f>ROUND(A96*5250/F96,0)</f>
        <v>742</v>
      </c>
      <c r="L96" s="53">
        <f>ROUND(A96*5250*0.75/(B96-((B96-F96)*0.75)),0)</f>
        <v>554</v>
      </c>
      <c r="M96" s="44">
        <v>125</v>
      </c>
      <c r="N96" s="44">
        <v>220</v>
      </c>
      <c r="O96" s="47">
        <v>93.6</v>
      </c>
      <c r="P96" s="47">
        <f>A96*746/(A96*746+(AB96*1.1))*100</f>
        <v>93.0047694753577</v>
      </c>
      <c r="Q96" s="47">
        <v>93.8</v>
      </c>
      <c r="R96" s="47">
        <f>ROUND(A96*0.75*746/(A96*0.75*746+(AC96*1.2))*100,1)</f>
        <v>92.7</v>
      </c>
      <c r="S96" s="47">
        <v>93.3</v>
      </c>
      <c r="T96" s="47">
        <v>80.2</v>
      </c>
      <c r="U96" s="47">
        <v>77.3</v>
      </c>
      <c r="V96" s="47">
        <v>69.7</v>
      </c>
      <c r="W96" s="44">
        <v>30</v>
      </c>
      <c r="X96" s="44">
        <v>12</v>
      </c>
      <c r="Y96" s="44">
        <f>H96*13</f>
        <v>1625</v>
      </c>
      <c r="Z96" s="46"/>
      <c r="AA96" s="43">
        <v>69</v>
      </c>
      <c r="AB96" s="43">
        <f>(A96*746-(O96/100*(A96*746)))/(O96/100)</f>
        <v>6376.068376068377</v>
      </c>
      <c r="AC96" s="43">
        <f>(A96*746*0.75-(Q96/100*(A96*0.75*746)))/(Q96/100)</f>
        <v>4622.734541577825</v>
      </c>
      <c r="AD96" s="43"/>
      <c r="AE96" s="43"/>
      <c r="AF96" s="43"/>
      <c r="AG96" s="43">
        <v>7900</v>
      </c>
      <c r="AH96" s="44">
        <f>AG96*1</f>
        <v>7900</v>
      </c>
      <c r="AI96" s="43">
        <v>2919</v>
      </c>
      <c r="AJ96" s="47">
        <v>80.7</v>
      </c>
      <c r="AK96" s="43">
        <v>2943</v>
      </c>
      <c r="AL96" s="43" t="s">
        <v>108</v>
      </c>
      <c r="AM96" s="43">
        <v>64</v>
      </c>
      <c r="AN96" s="44">
        <v>83</v>
      </c>
      <c r="AO96" s="43" t="s">
        <v>125</v>
      </c>
      <c r="AP96" s="1" t="s">
        <v>110</v>
      </c>
      <c r="AQ96" s="1" t="s">
        <v>110</v>
      </c>
      <c r="AW96" s="43"/>
      <c r="BA96" s="49"/>
    </row>
    <row r="97" spans="1:53" ht="14.25">
      <c r="A97" s="44">
        <v>125</v>
      </c>
      <c r="B97" s="44">
        <v>1200</v>
      </c>
      <c r="C97" s="45" t="s">
        <v>148</v>
      </c>
      <c r="D97" s="45" t="s">
        <v>149</v>
      </c>
      <c r="E97" s="43" t="s">
        <v>152</v>
      </c>
      <c r="F97" s="43">
        <v>1186</v>
      </c>
      <c r="G97" s="46">
        <v>51.2</v>
      </c>
      <c r="H97" s="53">
        <f>ROUND(A97*746*10000/(O97*T97*1.732*575),0)</f>
        <v>124</v>
      </c>
      <c r="I97" s="47">
        <f>ROUND(A97*0.75*746*10000/(Q97*U97*1.732*575),1)</f>
        <v>95.4</v>
      </c>
      <c r="J97" s="44">
        <v>726</v>
      </c>
      <c r="K97" s="44">
        <f>ROUND(A97*5250/F97,0)</f>
        <v>553</v>
      </c>
      <c r="L97" s="53">
        <f>ROUND(A97*5250*0.75/(B97-((B97-F97)*0.75)),0)</f>
        <v>414</v>
      </c>
      <c r="M97" s="44">
        <v>206</v>
      </c>
      <c r="N97" s="44">
        <v>230</v>
      </c>
      <c r="O97" s="47">
        <v>95.5</v>
      </c>
      <c r="P97" s="47">
        <f>A97*746/(A97*746+(AB97*1.1))*100</f>
        <v>95.07217521154803</v>
      </c>
      <c r="Q97" s="47">
        <v>95.6</v>
      </c>
      <c r="R97" s="47">
        <f>ROUND(A97*0.75*746/(A97*0.75*746+(AC97*1.1))*100,1)</f>
        <v>95.2</v>
      </c>
      <c r="S97" s="47">
        <v>95.5</v>
      </c>
      <c r="T97" s="47">
        <v>79.1</v>
      </c>
      <c r="U97" s="47">
        <v>77</v>
      </c>
      <c r="V97" s="47">
        <v>69</v>
      </c>
      <c r="W97" s="44">
        <v>15</v>
      </c>
      <c r="X97" s="44">
        <v>8</v>
      </c>
      <c r="Y97" s="44">
        <f>H97*13</f>
        <v>1612</v>
      </c>
      <c r="Z97" s="46">
        <v>51</v>
      </c>
      <c r="AA97" s="44">
        <v>74</v>
      </c>
      <c r="AB97" s="43">
        <f>(A97*746-(O97/100*(A97*746)))/(O97/100)</f>
        <v>4393.979057591623</v>
      </c>
      <c r="AC97" s="43">
        <f>(A97*746*0.75-(Q97/100*(A97*0.75*746)))/(Q97/100)</f>
        <v>3218.8807531380753</v>
      </c>
      <c r="AD97" s="43">
        <f>AE97+1</f>
        <v>7</v>
      </c>
      <c r="AE97" s="43">
        <v>6</v>
      </c>
      <c r="AF97" s="43">
        <v>120</v>
      </c>
      <c r="AG97" s="43">
        <v>3560</v>
      </c>
      <c r="AH97" s="44">
        <f>AG97*$BB$1</f>
        <v>4628</v>
      </c>
      <c r="AI97" s="43">
        <v>1452</v>
      </c>
      <c r="AJ97" s="47">
        <f>$BB$1*51.1</f>
        <v>66.43</v>
      </c>
      <c r="AK97" s="43">
        <v>1919</v>
      </c>
      <c r="AL97" s="43" t="s">
        <v>108</v>
      </c>
      <c r="AM97" s="43">
        <v>67</v>
      </c>
      <c r="AN97" s="44">
        <v>88</v>
      </c>
      <c r="AO97" s="43" t="s">
        <v>125</v>
      </c>
      <c r="AP97" s="1">
        <v>60</v>
      </c>
      <c r="AQ97" s="1">
        <v>85</v>
      </c>
      <c r="AW97" s="43"/>
      <c r="BA97" s="49"/>
    </row>
    <row r="98" spans="1:53" ht="14.25">
      <c r="A98" s="44">
        <v>125</v>
      </c>
      <c r="B98" s="44">
        <v>1800</v>
      </c>
      <c r="C98" s="45" t="s">
        <v>148</v>
      </c>
      <c r="D98" s="45" t="s">
        <v>149</v>
      </c>
      <c r="E98" s="43" t="s">
        <v>150</v>
      </c>
      <c r="F98" s="43">
        <v>1785</v>
      </c>
      <c r="G98" s="46">
        <v>36.8</v>
      </c>
      <c r="H98" s="53">
        <f>ROUND(A98*746*10000/(O98*T98*1.732*575),0)</f>
        <v>116</v>
      </c>
      <c r="I98" s="47">
        <f>ROUND(A98*0.75*746*10000/(Q98*U98*1.732*575),1)</f>
        <v>90.5</v>
      </c>
      <c r="J98" s="44">
        <v>726</v>
      </c>
      <c r="K98" s="44">
        <f>ROUND(A98*5250/F98,0)</f>
        <v>368</v>
      </c>
      <c r="L98" s="53">
        <f>ROUND(A98*5250*0.75/(B98-((B98-F98)*0.75)),0)</f>
        <v>275</v>
      </c>
      <c r="M98" s="44">
        <v>216</v>
      </c>
      <c r="N98" s="44">
        <v>256</v>
      </c>
      <c r="O98" s="47">
        <v>95.7</v>
      </c>
      <c r="P98" s="47">
        <f>A98*746/(A98*746+(AB98*1.1))*100</f>
        <v>95.29025191675795</v>
      </c>
      <c r="Q98" s="47">
        <v>95.7</v>
      </c>
      <c r="R98" s="47">
        <f>ROUND(A98*0.75*746/(A98*0.75*746+(AC98*1.1))*100,1)</f>
        <v>95.3</v>
      </c>
      <c r="S98" s="47">
        <v>95</v>
      </c>
      <c r="T98" s="47">
        <v>84.1</v>
      </c>
      <c r="U98" s="47">
        <v>81.1</v>
      </c>
      <c r="V98" s="47">
        <v>73.3</v>
      </c>
      <c r="W98" s="44">
        <v>18</v>
      </c>
      <c r="X98" s="44">
        <v>11</v>
      </c>
      <c r="Y98" s="44">
        <f>H98*13</f>
        <v>1508</v>
      </c>
      <c r="Z98" s="46">
        <v>36.6</v>
      </c>
      <c r="AA98" s="44">
        <v>84</v>
      </c>
      <c r="AB98" s="43">
        <f>(A98*746-(O98/100*(A98*746)))/(O98/100)</f>
        <v>4189.916405433646</v>
      </c>
      <c r="AC98" s="43">
        <f>(A98*746*0.75-(Q98/100*(A98*0.75*746)))/(Q98/100)</f>
        <v>3142.437304075235</v>
      </c>
      <c r="AD98" s="43">
        <f>AE98+1</f>
        <v>6</v>
      </c>
      <c r="AE98" s="43">
        <v>5</v>
      </c>
      <c r="AF98" s="43">
        <v>140</v>
      </c>
      <c r="AG98" s="43">
        <v>1490</v>
      </c>
      <c r="AH98" s="44">
        <f>AG98*$BB$1</f>
        <v>1937</v>
      </c>
      <c r="AI98" s="43">
        <v>542</v>
      </c>
      <c r="AJ98" s="47">
        <f>$BB$1*34.4</f>
        <v>44.72</v>
      </c>
      <c r="AK98" s="43">
        <v>1762</v>
      </c>
      <c r="AL98" s="43" t="s">
        <v>108</v>
      </c>
      <c r="AM98" s="43">
        <v>61</v>
      </c>
      <c r="AN98" s="44">
        <v>79</v>
      </c>
      <c r="AO98" s="43" t="s">
        <v>125</v>
      </c>
      <c r="AP98" s="1">
        <v>60</v>
      </c>
      <c r="AQ98" s="1">
        <v>70</v>
      </c>
      <c r="AW98" s="43"/>
      <c r="BA98" s="49"/>
    </row>
    <row r="99" spans="1:53" ht="14.25">
      <c r="A99" s="44">
        <v>125</v>
      </c>
      <c r="B99" s="44">
        <v>3600</v>
      </c>
      <c r="C99" s="45" t="s">
        <v>143</v>
      </c>
      <c r="D99" s="45" t="s">
        <v>143</v>
      </c>
      <c r="E99" s="43" t="s">
        <v>156</v>
      </c>
      <c r="F99" s="43">
        <v>3575</v>
      </c>
      <c r="G99" s="46">
        <v>29.2</v>
      </c>
      <c r="H99" s="53">
        <f>ROUND(A99*746*10000/(O99*T99*1.732*575),0)</f>
        <v>111</v>
      </c>
      <c r="I99" s="47">
        <f>ROUND(A99*0.75*746*10000/(Q99*U99*1.732*575),1)</f>
        <v>84.3</v>
      </c>
      <c r="J99" s="44">
        <v>726</v>
      </c>
      <c r="K99" s="44">
        <f>ROUND(A99*5250/F99,0)</f>
        <v>184</v>
      </c>
      <c r="L99" s="53">
        <f>ROUND(A99*5250*0.75/(B99-((B99-F99)*0.75)),0)</f>
        <v>137</v>
      </c>
      <c r="M99" s="44">
        <v>215</v>
      </c>
      <c r="N99" s="44">
        <v>265</v>
      </c>
      <c r="O99" s="47">
        <v>95.3</v>
      </c>
      <c r="P99" s="47">
        <f>A99*746/(A99*746+(AB99*1.1))*100</f>
        <v>94.85418532895392</v>
      </c>
      <c r="Q99" s="47">
        <v>95.2</v>
      </c>
      <c r="R99" s="47">
        <f>ROUND(A99*0.75*746/(A99*0.75*746+(AC99*1.1))*100,1)</f>
        <v>94.7</v>
      </c>
      <c r="S99" s="47">
        <v>94.8</v>
      </c>
      <c r="T99" s="47">
        <v>88.2</v>
      </c>
      <c r="U99" s="47">
        <v>87.5</v>
      </c>
      <c r="V99" s="47">
        <v>84.3</v>
      </c>
      <c r="W99" s="44">
        <v>19</v>
      </c>
      <c r="X99" s="44">
        <v>10</v>
      </c>
      <c r="Y99" s="44">
        <f>H99*13</f>
        <v>1443</v>
      </c>
      <c r="Z99" s="46">
        <v>29</v>
      </c>
      <c r="AA99" s="44">
        <v>85</v>
      </c>
      <c r="AB99" s="43">
        <f>(A99*746-(O99/100*(A99*746)))/(O99/100)</f>
        <v>4598.898216159497</v>
      </c>
      <c r="AC99" s="43">
        <f>(A99*746*0.75-(Q99/100*(A99*0.75*746)))/(Q99/100)</f>
        <v>3526.2605042016803</v>
      </c>
      <c r="AD99" s="43">
        <f>AE99+1</f>
        <v>4</v>
      </c>
      <c r="AE99" s="43">
        <v>3</v>
      </c>
      <c r="AF99" s="43">
        <v>275</v>
      </c>
      <c r="AG99" s="43">
        <v>430</v>
      </c>
      <c r="AH99" s="44">
        <f>AG99*$BB$1</f>
        <v>559</v>
      </c>
      <c r="AI99" s="43">
        <v>113</v>
      </c>
      <c r="AJ99" s="47">
        <f>$BB$1*27.9</f>
        <v>36.27</v>
      </c>
      <c r="AK99" s="43">
        <v>1873</v>
      </c>
      <c r="AL99" s="43" t="s">
        <v>108</v>
      </c>
      <c r="AM99" s="43">
        <v>62</v>
      </c>
      <c r="AN99" s="44">
        <v>75</v>
      </c>
      <c r="AO99" s="43" t="s">
        <v>125</v>
      </c>
      <c r="AP99" s="1">
        <v>30</v>
      </c>
      <c r="AQ99" s="1">
        <v>85</v>
      </c>
      <c r="AW99" s="43"/>
      <c r="BA99" s="49"/>
    </row>
    <row r="100" spans="1:53" ht="14.25">
      <c r="A100" s="44"/>
      <c r="B100" s="43"/>
      <c r="C100" s="51"/>
      <c r="D100" s="51"/>
      <c r="E100" s="43"/>
      <c r="F100" s="43"/>
      <c r="G100" s="46"/>
      <c r="H100" s="44"/>
      <c r="I100" s="44"/>
      <c r="J100" s="44"/>
      <c r="K100" s="44"/>
      <c r="L100" s="44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6"/>
      <c r="AA100" s="43"/>
      <c r="AB100" s="43"/>
      <c r="AC100" s="43"/>
      <c r="AD100" s="43"/>
      <c r="AE100" s="43"/>
      <c r="AF100" s="43"/>
      <c r="AG100" s="43"/>
      <c r="AH100" s="44"/>
      <c r="AI100" s="43"/>
      <c r="AJ100" s="47"/>
      <c r="AK100" s="43"/>
      <c r="AL100" s="43"/>
      <c r="AM100" s="43"/>
      <c r="AN100" s="43"/>
      <c r="AO100" s="43"/>
      <c r="AW100" s="43"/>
      <c r="BA100" s="49"/>
    </row>
    <row r="101" spans="1:53" ht="14.25">
      <c r="A101" s="44">
        <v>150</v>
      </c>
      <c r="B101" s="44">
        <v>900</v>
      </c>
      <c r="C101" s="45" t="s">
        <v>154</v>
      </c>
      <c r="D101" s="45" t="s">
        <v>149</v>
      </c>
      <c r="E101" s="43" t="s">
        <v>155</v>
      </c>
      <c r="F101" s="43">
        <v>884</v>
      </c>
      <c r="G101" s="46">
        <v>53</v>
      </c>
      <c r="H101" s="53">
        <f>ROUND(A101*746*10000/(O101*T101*1.732*575),0)</f>
        <v>150</v>
      </c>
      <c r="I101" s="53">
        <f>ROUND(A101*0.75*746*10000/(Q101*U101*1.732*575),1)</f>
        <v>115.2</v>
      </c>
      <c r="J101" s="44">
        <v>828</v>
      </c>
      <c r="K101" s="44">
        <f>ROUND(A101*5250/F101,0)</f>
        <v>891</v>
      </c>
      <c r="L101" s="53">
        <f>ROUND(A101*5250*0.75/(B101-((B101-F101)*0.75)),0)</f>
        <v>665</v>
      </c>
      <c r="M101" s="44">
        <v>130</v>
      </c>
      <c r="N101" s="44">
        <v>225</v>
      </c>
      <c r="O101" s="47">
        <v>93.6</v>
      </c>
      <c r="P101" s="47">
        <f>A101*746/(A101*746+(AB101*1.1))*100</f>
        <v>93.0047694753577</v>
      </c>
      <c r="Q101" s="47">
        <v>93.7</v>
      </c>
      <c r="R101" s="47">
        <f>ROUND(A101*0.75*746/(A101*0.75*746+(AC101*1.2))*100,1)</f>
        <v>92.5</v>
      </c>
      <c r="S101" s="47">
        <v>93.5</v>
      </c>
      <c r="T101" s="47">
        <v>80.2</v>
      </c>
      <c r="U101" s="47">
        <v>78.1</v>
      </c>
      <c r="V101" s="47">
        <v>69.5</v>
      </c>
      <c r="W101" s="44">
        <v>33</v>
      </c>
      <c r="X101" s="44">
        <v>14</v>
      </c>
      <c r="Y101" s="44">
        <f>H101*13</f>
        <v>1950</v>
      </c>
      <c r="Z101" s="46"/>
      <c r="AA101" s="44">
        <v>71</v>
      </c>
      <c r="AB101" s="43">
        <f>(A101*746-(O101/100*(A101*746)))/(O101/100)</f>
        <v>7651.282051282058</v>
      </c>
      <c r="AC101" s="43">
        <f>(A101*746*0.75-(Q101/100*(A101*0.75*746)))/(Q101/100)</f>
        <v>5642.769477054422</v>
      </c>
      <c r="AD101" s="43"/>
      <c r="AE101" s="43"/>
      <c r="AF101" s="43"/>
      <c r="AG101" s="43">
        <v>10200</v>
      </c>
      <c r="AH101" s="44">
        <f>AG101*1</f>
        <v>10200</v>
      </c>
      <c r="AI101" s="43">
        <v>3456</v>
      </c>
      <c r="AJ101" s="47">
        <v>92</v>
      </c>
      <c r="AK101" s="43">
        <v>4213</v>
      </c>
      <c r="AL101" s="43" t="s">
        <v>108</v>
      </c>
      <c r="AM101" s="43">
        <v>68</v>
      </c>
      <c r="AN101" s="44">
        <v>88</v>
      </c>
      <c r="AO101" s="43" t="s">
        <v>125</v>
      </c>
      <c r="AP101" s="1" t="s">
        <v>110</v>
      </c>
      <c r="AQ101" s="1" t="s">
        <v>110</v>
      </c>
      <c r="AW101" s="43"/>
      <c r="BA101" s="49"/>
    </row>
    <row r="102" spans="1:53" ht="14.25">
      <c r="A102" s="44">
        <v>150</v>
      </c>
      <c r="B102" s="44">
        <v>1200</v>
      </c>
      <c r="C102" s="45" t="s">
        <v>148</v>
      </c>
      <c r="D102" s="45" t="s">
        <v>149</v>
      </c>
      <c r="E102" s="43" t="s">
        <v>157</v>
      </c>
      <c r="F102" s="43">
        <v>1184</v>
      </c>
      <c r="G102" s="46">
        <v>52</v>
      </c>
      <c r="H102" s="53">
        <f>ROUND(A102*746*10000/(O102*T102*1.732*575),0)</f>
        <v>145</v>
      </c>
      <c r="I102" s="53">
        <f>ROUND(A102*0.75*746*10000/(Q102*U102*1.732*575),1)</f>
        <v>112.7</v>
      </c>
      <c r="J102" s="44">
        <v>868</v>
      </c>
      <c r="K102" s="44">
        <f>ROUND(A102*5250/F102,0)</f>
        <v>665</v>
      </c>
      <c r="L102" s="53">
        <f>ROUND(A102*5250*0.75/(B102-((B102-F102)*0.75)),0)</f>
        <v>497</v>
      </c>
      <c r="M102" s="44">
        <v>220</v>
      </c>
      <c r="N102" s="44">
        <v>245</v>
      </c>
      <c r="O102" s="47">
        <v>95.8</v>
      </c>
      <c r="P102" s="47">
        <f>A102*746/(A102*746+(AB102*1.1))*100</f>
        <v>95.39932284405495</v>
      </c>
      <c r="Q102" s="47">
        <v>96.2</v>
      </c>
      <c r="R102" s="47">
        <f>ROUND(A102*0.75*746/(A102*0.75*746+(AC102*1.1))*100,1)</f>
        <v>95.8</v>
      </c>
      <c r="S102" s="47">
        <v>96.1</v>
      </c>
      <c r="T102" s="47">
        <v>81.1</v>
      </c>
      <c r="U102" s="47">
        <v>77.7</v>
      </c>
      <c r="V102" s="47">
        <v>68.7</v>
      </c>
      <c r="W102" s="44">
        <v>13</v>
      </c>
      <c r="X102" s="44">
        <v>7</v>
      </c>
      <c r="Y102" s="44">
        <f>H102*13</f>
        <v>1885</v>
      </c>
      <c r="Z102" s="46">
        <v>51.7</v>
      </c>
      <c r="AA102" s="44">
        <v>77</v>
      </c>
      <c r="AB102" s="43">
        <f>(A102*746-(O102/100*(A102*746)))/(O102/100)</f>
        <v>4905.845511482258</v>
      </c>
      <c r="AC102" s="43">
        <f>(A102*746*0.75-(Q102/100*(A102*0.75*746)))/(Q102/100)</f>
        <v>3315.1247401247338</v>
      </c>
      <c r="AD102" s="43">
        <f>AE102+1</f>
        <v>6</v>
      </c>
      <c r="AE102" s="43">
        <v>5</v>
      </c>
      <c r="AF102" s="43">
        <v>140</v>
      </c>
      <c r="AG102" s="43">
        <v>3800</v>
      </c>
      <c r="AH102" s="44">
        <f>AG102*$BB$1</f>
        <v>4940</v>
      </c>
      <c r="AI102" s="43">
        <v>1719</v>
      </c>
      <c r="AJ102" s="47">
        <f>$BB$1*58.7</f>
        <v>76.31</v>
      </c>
      <c r="AK102" s="43">
        <v>2132</v>
      </c>
      <c r="AL102" s="43" t="s">
        <v>108</v>
      </c>
      <c r="AM102" s="43">
        <v>78</v>
      </c>
      <c r="AN102" s="44">
        <v>103</v>
      </c>
      <c r="AO102" s="43" t="s">
        <v>125</v>
      </c>
      <c r="AP102" s="1">
        <v>60</v>
      </c>
      <c r="AQ102" s="1">
        <v>80</v>
      </c>
      <c r="AW102" s="43"/>
      <c r="BA102" s="49"/>
    </row>
    <row r="103" spans="1:53" ht="14.25">
      <c r="A103" s="44">
        <v>150</v>
      </c>
      <c r="B103" s="44">
        <v>1800</v>
      </c>
      <c r="C103" s="45" t="s">
        <v>148</v>
      </c>
      <c r="D103" s="45" t="s">
        <v>149</v>
      </c>
      <c r="E103" s="43" t="s">
        <v>152</v>
      </c>
      <c r="F103" s="43">
        <v>1784</v>
      </c>
      <c r="G103" s="46">
        <v>46.4</v>
      </c>
      <c r="H103" s="53">
        <f>ROUND(A103*746*10000/(O103*T103*1.732*575),0)</f>
        <v>140</v>
      </c>
      <c r="I103" s="53">
        <f>ROUND(A103*0.75*746*10000/(Q103*U103*1.732*575),1)</f>
        <v>109.3</v>
      </c>
      <c r="J103" s="44">
        <v>868</v>
      </c>
      <c r="K103" s="44">
        <f>ROUND(A103*5250/F103,0)</f>
        <v>441</v>
      </c>
      <c r="L103" s="53">
        <f>ROUND(A103*5250*0.75/(B103-((B103-F103)*0.75)),0)</f>
        <v>330</v>
      </c>
      <c r="M103" s="44">
        <v>220</v>
      </c>
      <c r="N103" s="44">
        <v>260</v>
      </c>
      <c r="O103" s="47">
        <v>95.7</v>
      </c>
      <c r="P103" s="47">
        <f>A103*746/(A103*746+(AB103*1.1))*100</f>
        <v>95.29025191675795</v>
      </c>
      <c r="Q103" s="47">
        <v>95.5</v>
      </c>
      <c r="R103" s="47">
        <f>ROUND(A103*0.75*746/(A103*0.75*746+(AC103*1.1))*100,1)</f>
        <v>95.1</v>
      </c>
      <c r="S103" s="47">
        <v>94.8</v>
      </c>
      <c r="T103" s="47">
        <v>83.6</v>
      </c>
      <c r="U103" s="47">
        <v>80.7</v>
      </c>
      <c r="V103" s="47">
        <v>72.9</v>
      </c>
      <c r="W103" s="44">
        <v>14</v>
      </c>
      <c r="X103" s="44">
        <v>8</v>
      </c>
      <c r="Y103" s="44">
        <f>H103*13</f>
        <v>1820</v>
      </c>
      <c r="Z103" s="46">
        <v>46.2</v>
      </c>
      <c r="AA103" s="44">
        <v>84</v>
      </c>
      <c r="AB103" s="43">
        <f>(A103*746-(O103/100*(A103*746)))/(O103/100)</f>
        <v>5027.899686520373</v>
      </c>
      <c r="AC103" s="43">
        <f>(A103*746*0.75-(Q103/100*(A103*0.75*746)))/(Q103/100)</f>
        <v>3954.581151832461</v>
      </c>
      <c r="AD103" s="43">
        <f>AE103+1</f>
        <v>6</v>
      </c>
      <c r="AE103" s="43">
        <v>5</v>
      </c>
      <c r="AF103" s="43">
        <v>160</v>
      </c>
      <c r="AG103" s="43">
        <v>1570</v>
      </c>
      <c r="AH103" s="44">
        <f>AG103*$BB$1</f>
        <v>2041</v>
      </c>
      <c r="AI103" s="43">
        <v>640</v>
      </c>
      <c r="AJ103" s="47">
        <f>$BB$1*38.5</f>
        <v>50.050000000000004</v>
      </c>
      <c r="AK103" s="43">
        <v>1883</v>
      </c>
      <c r="AL103" s="43" t="s">
        <v>108</v>
      </c>
      <c r="AM103" s="43">
        <v>69</v>
      </c>
      <c r="AN103" s="44">
        <v>83</v>
      </c>
      <c r="AO103" s="43" t="s">
        <v>125</v>
      </c>
      <c r="AP103" s="1">
        <v>60</v>
      </c>
      <c r="AQ103" s="1">
        <v>60</v>
      </c>
      <c r="AW103" s="43"/>
      <c r="BA103" s="49"/>
    </row>
    <row r="104" spans="1:53" ht="14.25">
      <c r="A104" s="44">
        <v>150</v>
      </c>
      <c r="B104" s="44">
        <v>3600</v>
      </c>
      <c r="C104" s="45" t="s">
        <v>143</v>
      </c>
      <c r="D104" s="45" t="s">
        <v>143</v>
      </c>
      <c r="E104" s="43" t="s">
        <v>158</v>
      </c>
      <c r="F104" s="43">
        <v>3577</v>
      </c>
      <c r="G104" s="46">
        <v>37.6</v>
      </c>
      <c r="H104" s="53">
        <f>ROUND(A104*746*10000/(O104*T104*1.732*575),0)</f>
        <v>133</v>
      </c>
      <c r="I104" s="53">
        <f>ROUND(A104*0.75*746*10000/(Q104*U104*1.732*575),1)</f>
        <v>100.8</v>
      </c>
      <c r="J104" s="44">
        <v>950</v>
      </c>
      <c r="K104" s="44">
        <f>ROUND(A104*5250/F104,0)</f>
        <v>220</v>
      </c>
      <c r="L104" s="53">
        <f>ROUND(A104*5250*0.75/(B104-((B104-F104)*0.75)),0)</f>
        <v>165</v>
      </c>
      <c r="M104" s="44">
        <v>210</v>
      </c>
      <c r="N104" s="44">
        <v>260</v>
      </c>
      <c r="O104" s="47">
        <v>95.7</v>
      </c>
      <c r="P104" s="47">
        <f>A104*746/(A104*746+(AB104*1.1))*100</f>
        <v>95.29025191675795</v>
      </c>
      <c r="Q104" s="47">
        <v>95.7</v>
      </c>
      <c r="R104" s="47">
        <f>ROUND(A104*0.75*746/(A104*0.75*746+(AC104*1.1))*100,1)</f>
        <v>95.3</v>
      </c>
      <c r="S104" s="47">
        <v>95.2</v>
      </c>
      <c r="T104" s="47">
        <v>88.1</v>
      </c>
      <c r="U104" s="47">
        <v>87.4</v>
      </c>
      <c r="V104" s="47">
        <v>84</v>
      </c>
      <c r="W104" s="44">
        <v>16</v>
      </c>
      <c r="X104" s="44">
        <v>9</v>
      </c>
      <c r="Y104" s="44">
        <f>H104*13</f>
        <v>1729</v>
      </c>
      <c r="Z104" s="46">
        <v>37.4</v>
      </c>
      <c r="AA104" s="44">
        <v>85</v>
      </c>
      <c r="AB104" s="43">
        <f>(A104*746-(O104/100*(A104*746)))/(O104/100)</f>
        <v>5027.899686520373</v>
      </c>
      <c r="AC104" s="43">
        <f>(A104*746*0.75-(Q104/100*(A104*0.75*746)))/(Q104/100)</f>
        <v>3770.9247648902756</v>
      </c>
      <c r="AD104" s="43">
        <f>AE104+1</f>
        <v>3</v>
      </c>
      <c r="AE104" s="43">
        <v>2</v>
      </c>
      <c r="AF104" s="43">
        <v>320</v>
      </c>
      <c r="AG104" s="43">
        <v>487</v>
      </c>
      <c r="AH104" s="44">
        <f>AG104*$BB$1</f>
        <v>633.1</v>
      </c>
      <c r="AI104" s="43">
        <v>133</v>
      </c>
      <c r="AJ104" s="47">
        <f>$BB$1*33.2</f>
        <v>43.160000000000004</v>
      </c>
      <c r="AK104" s="43">
        <v>2065</v>
      </c>
      <c r="AL104" s="43" t="s">
        <v>108</v>
      </c>
      <c r="AM104" s="43">
        <v>57</v>
      </c>
      <c r="AN104" s="44">
        <v>71</v>
      </c>
      <c r="AO104" s="43" t="s">
        <v>125</v>
      </c>
      <c r="AP104" s="1">
        <v>40</v>
      </c>
      <c r="AQ104" s="1">
        <v>85</v>
      </c>
      <c r="AW104" s="43"/>
      <c r="BA104" s="49"/>
    </row>
    <row r="105" spans="1:53" ht="14.25">
      <c r="A105" s="43"/>
      <c r="B105" s="43"/>
      <c r="C105" s="51"/>
      <c r="D105" s="51"/>
      <c r="E105" s="43"/>
      <c r="F105" s="43"/>
      <c r="G105" s="46"/>
      <c r="H105" s="44"/>
      <c r="I105" s="44"/>
      <c r="J105" s="44"/>
      <c r="K105" s="44"/>
      <c r="L105" s="44"/>
      <c r="M105" s="43"/>
      <c r="N105" s="43"/>
      <c r="O105" s="43"/>
      <c r="P105" s="47"/>
      <c r="Q105" s="43"/>
      <c r="R105" s="47"/>
      <c r="S105" s="43"/>
      <c r="T105" s="43"/>
      <c r="U105" s="43"/>
      <c r="V105" s="43"/>
      <c r="W105" s="43"/>
      <c r="X105" s="43"/>
      <c r="Y105" s="43"/>
      <c r="Z105" s="46"/>
      <c r="AA105" s="43"/>
      <c r="AB105" s="43"/>
      <c r="AC105" s="43"/>
      <c r="AD105" s="43"/>
      <c r="AE105" s="43"/>
      <c r="AF105" s="43"/>
      <c r="AG105" s="43"/>
      <c r="AH105" s="44"/>
      <c r="AI105" s="43"/>
      <c r="AJ105" s="47"/>
      <c r="AK105" s="43"/>
      <c r="AL105" s="43"/>
      <c r="AM105" s="43"/>
      <c r="AN105" s="43"/>
      <c r="AO105" s="43"/>
      <c r="AW105" s="43"/>
      <c r="BA105" s="49"/>
    </row>
    <row r="106" spans="1:53" ht="14.25">
      <c r="A106" s="44">
        <v>200</v>
      </c>
      <c r="B106" s="44">
        <v>900</v>
      </c>
      <c r="C106" s="45" t="s">
        <v>159</v>
      </c>
      <c r="D106" s="45" t="s">
        <v>160</v>
      </c>
      <c r="E106" s="43" t="s">
        <v>161</v>
      </c>
      <c r="F106" s="43">
        <v>888</v>
      </c>
      <c r="G106" s="46">
        <v>60</v>
      </c>
      <c r="H106" s="53">
        <f>ROUND(A106*746*10000/(O106*T106*1.732*575),0)</f>
        <v>193</v>
      </c>
      <c r="I106" s="53">
        <f>ROUND(A106*0.75*746*10000/(Q106*U106*1.732*575),1)</f>
        <v>147.5</v>
      </c>
      <c r="J106" s="44">
        <v>1320</v>
      </c>
      <c r="K106" s="44">
        <f>ROUND(A106*5250/F106,0)</f>
        <v>1182</v>
      </c>
      <c r="L106" s="53">
        <f>ROUND(A106*5250*0.75/(B106-((B106-F106)*0.75)),0)</f>
        <v>884</v>
      </c>
      <c r="M106" s="43">
        <v>173</v>
      </c>
      <c r="N106" s="43">
        <v>218</v>
      </c>
      <c r="O106" s="43">
        <v>93</v>
      </c>
      <c r="P106" s="47">
        <f>A106*746/(A106*746+(AB106*1.1))*100</f>
        <v>92.35352532274081</v>
      </c>
      <c r="Q106" s="43">
        <v>94.5</v>
      </c>
      <c r="R106" s="47">
        <f>ROUND(A106*0.75*746/(A106*0.75*746+(AC106*1.2))*100,1)</f>
        <v>93.5</v>
      </c>
      <c r="S106" s="43">
        <v>94.2</v>
      </c>
      <c r="T106" s="43">
        <v>83.5</v>
      </c>
      <c r="U106" s="47">
        <v>80.6</v>
      </c>
      <c r="V106" s="47">
        <v>73.7</v>
      </c>
      <c r="W106" s="44">
        <v>29</v>
      </c>
      <c r="X106" s="44">
        <v>10</v>
      </c>
      <c r="Y106" s="44">
        <f>H106*13</f>
        <v>2509</v>
      </c>
      <c r="Z106" s="46"/>
      <c r="AA106" s="44">
        <v>72</v>
      </c>
      <c r="AB106" s="43">
        <f>(A106*746-(O106/100*(A106*746)))/(O106/100)</f>
        <v>11230.10752688172</v>
      </c>
      <c r="AC106" s="43">
        <f>(A106*746*0.75-(Q106/100*(A106*0.75*746)))/(Q106/100)</f>
        <v>6512.698412698413</v>
      </c>
      <c r="AD106" s="43"/>
      <c r="AE106" s="43"/>
      <c r="AF106" s="43"/>
      <c r="AG106" s="43">
        <v>13800</v>
      </c>
      <c r="AH106" s="44">
        <f>1+AG106*1</f>
        <v>13801</v>
      </c>
      <c r="AI106" s="43">
        <v>4508</v>
      </c>
      <c r="AJ106" s="47">
        <v>343</v>
      </c>
      <c r="AK106" s="43">
        <v>4273</v>
      </c>
      <c r="AL106" s="43" t="s">
        <v>108</v>
      </c>
      <c r="AM106" s="43">
        <v>78</v>
      </c>
      <c r="AN106" s="43">
        <v>104</v>
      </c>
      <c r="AO106" s="43" t="s">
        <v>125</v>
      </c>
      <c r="AP106" s="1" t="s">
        <v>110</v>
      </c>
      <c r="AQ106" s="1" t="s">
        <v>110</v>
      </c>
      <c r="AW106" s="43"/>
      <c r="BA106" s="49"/>
    </row>
    <row r="107" spans="1:53" ht="14.25">
      <c r="A107" s="44">
        <v>200</v>
      </c>
      <c r="B107" s="44">
        <v>1200</v>
      </c>
      <c r="C107" s="45" t="s">
        <v>162</v>
      </c>
      <c r="D107" s="45">
        <v>6318</v>
      </c>
      <c r="E107" s="43" t="s">
        <v>155</v>
      </c>
      <c r="F107" s="43">
        <v>1188</v>
      </c>
      <c r="G107" s="46">
        <v>70</v>
      </c>
      <c r="H107" s="53">
        <f>ROUND(A107*746*10000/(O107*T107*1.732*575),0)</f>
        <v>186</v>
      </c>
      <c r="I107" s="53">
        <f>ROUND(A107*0.75*746*10000/(Q107*U107*1.732*575),1)</f>
        <v>142.4</v>
      </c>
      <c r="J107" s="44">
        <v>1288</v>
      </c>
      <c r="K107" s="44">
        <f>ROUND(A107*5250/F107,0)</f>
        <v>884</v>
      </c>
      <c r="L107" s="53">
        <f>ROUND(A107*5250*0.75/(B107-((B107-F107)*0.75)),0)</f>
        <v>661</v>
      </c>
      <c r="M107" s="43">
        <v>200</v>
      </c>
      <c r="N107" s="43">
        <v>210</v>
      </c>
      <c r="O107" s="43">
        <v>95.8</v>
      </c>
      <c r="P107" s="47">
        <f>A107*746/(A107*746+(AB107*1.1))*100</f>
        <v>95.39932284405498</v>
      </c>
      <c r="Q107" s="43">
        <v>96.1</v>
      </c>
      <c r="R107" s="47">
        <f>ROUND(A107*0.75*746/(A107*0.75*746+(AC107*1.1))*100,1)</f>
        <v>95.7</v>
      </c>
      <c r="S107" s="47">
        <v>96</v>
      </c>
      <c r="T107" s="47">
        <v>84.2</v>
      </c>
      <c r="U107" s="47">
        <v>82.1</v>
      </c>
      <c r="V107" s="47">
        <v>75.4</v>
      </c>
      <c r="W107" s="44">
        <v>14</v>
      </c>
      <c r="X107" s="44">
        <v>7</v>
      </c>
      <c r="Y107" s="44">
        <f>H107*13</f>
        <v>2418</v>
      </c>
      <c r="Z107" s="46">
        <v>55.8</v>
      </c>
      <c r="AA107" s="44">
        <v>81</v>
      </c>
      <c r="AB107" s="43">
        <f>(A107*746-(O107/100*(A107*746)))/(O107/100)</f>
        <v>6541.127348643</v>
      </c>
      <c r="AC107" s="43">
        <f>(A107*746*0.75-(Q107/100*(A107*0.75*746)))/(Q107/100)</f>
        <v>4541.207075962545</v>
      </c>
      <c r="AD107" s="43">
        <f>AE107+1</f>
        <v>6</v>
      </c>
      <c r="AE107" s="43">
        <v>5</v>
      </c>
      <c r="AF107" s="43">
        <v>265</v>
      </c>
      <c r="AG107" s="43">
        <v>5000</v>
      </c>
      <c r="AH107" s="44">
        <f>AG107*$BB$1</f>
        <v>6500</v>
      </c>
      <c r="AI107" s="43">
        <v>2238</v>
      </c>
      <c r="AJ107" s="47">
        <f>$BB$1*113</f>
        <v>146.9</v>
      </c>
      <c r="AK107" s="43">
        <v>3590</v>
      </c>
      <c r="AL107" s="43" t="s">
        <v>108</v>
      </c>
      <c r="AM107" s="43">
        <v>69</v>
      </c>
      <c r="AN107" s="43">
        <v>98</v>
      </c>
      <c r="AO107" s="43" t="s">
        <v>125</v>
      </c>
      <c r="AP107" s="1" t="s">
        <v>110</v>
      </c>
      <c r="AQ107" s="1" t="s">
        <v>110</v>
      </c>
      <c r="AW107" s="43"/>
      <c r="BA107" s="49"/>
    </row>
    <row r="108" spans="1:53" ht="14.25">
      <c r="A108" s="44">
        <v>200</v>
      </c>
      <c r="B108" s="44">
        <v>1200</v>
      </c>
      <c r="C108" s="45"/>
      <c r="D108" s="45"/>
      <c r="E108" s="43" t="s">
        <v>163</v>
      </c>
      <c r="F108" s="43">
        <v>1185</v>
      </c>
      <c r="G108" s="46"/>
      <c r="H108" s="53">
        <v>191</v>
      </c>
      <c r="I108" s="53"/>
      <c r="J108" s="44">
        <v>1160</v>
      </c>
      <c r="K108" s="44"/>
      <c r="L108" s="53"/>
      <c r="M108" s="43">
        <v>199</v>
      </c>
      <c r="N108" s="43">
        <v>222</v>
      </c>
      <c r="O108" s="43">
        <v>95.4</v>
      </c>
      <c r="P108" s="47"/>
      <c r="Q108" s="43"/>
      <c r="R108" s="47"/>
      <c r="S108" s="47"/>
      <c r="T108" s="47">
        <v>83</v>
      </c>
      <c r="U108" s="47"/>
      <c r="V108" s="47"/>
      <c r="W108" s="44"/>
      <c r="X108" s="44"/>
      <c r="Y108" s="44"/>
      <c r="Z108" s="46"/>
      <c r="AA108" s="44"/>
      <c r="AB108" s="43"/>
      <c r="AC108" s="43"/>
      <c r="AD108" s="43"/>
      <c r="AE108" s="43"/>
      <c r="AF108" s="43"/>
      <c r="AG108" s="43"/>
      <c r="AH108" s="44"/>
      <c r="AI108" s="43"/>
      <c r="AJ108" s="47"/>
      <c r="AK108" s="43"/>
      <c r="AL108" s="43"/>
      <c r="AM108" s="43">
        <v>70</v>
      </c>
      <c r="AN108" s="43"/>
      <c r="AO108" s="43" t="s">
        <v>125</v>
      </c>
      <c r="AP108" s="1" t="s">
        <v>110</v>
      </c>
      <c r="AQ108" s="1" t="s">
        <v>110</v>
      </c>
      <c r="AW108" s="43"/>
      <c r="BA108" s="49"/>
    </row>
    <row r="109" spans="1:53" ht="14.25">
      <c r="A109" s="44">
        <v>200</v>
      </c>
      <c r="B109" s="44">
        <v>1800</v>
      </c>
      <c r="C109" s="45" t="s">
        <v>148</v>
      </c>
      <c r="D109" s="45" t="s">
        <v>149</v>
      </c>
      <c r="E109" s="43" t="s">
        <v>157</v>
      </c>
      <c r="F109" s="43">
        <v>1784</v>
      </c>
      <c r="G109" s="46">
        <v>56</v>
      </c>
      <c r="H109" s="53">
        <f>ROUND(A109*746*10000/(O109*T109*1.732*575),0)</f>
        <v>184</v>
      </c>
      <c r="I109" s="53">
        <f>ROUND(A109*0.75*746*10000/(Q109*U109*1.732*575),1)</f>
        <v>142.8</v>
      </c>
      <c r="J109" s="44">
        <v>1160</v>
      </c>
      <c r="K109" s="44">
        <f>ROUND(A109*5250/F109,0)</f>
        <v>589</v>
      </c>
      <c r="L109" s="53">
        <f>ROUND(A109*5250*0.75/(B109-((B109-F109)*0.75)),0)</f>
        <v>440</v>
      </c>
      <c r="M109" s="43">
        <v>240</v>
      </c>
      <c r="N109" s="43">
        <v>260</v>
      </c>
      <c r="O109" s="43">
        <v>96.1</v>
      </c>
      <c r="P109" s="47">
        <f>A109*746/(A109*746+(AB109*1.1))*100</f>
        <v>95.7266660025899</v>
      </c>
      <c r="Q109" s="43">
        <v>96.1</v>
      </c>
      <c r="R109" s="47">
        <f>ROUND(A109*0.75*746/(A109*0.75*746+(AC109*1.1))*100,1)</f>
        <v>95.7</v>
      </c>
      <c r="S109" s="43">
        <v>95.7</v>
      </c>
      <c r="T109" s="43">
        <v>84.5</v>
      </c>
      <c r="U109" s="47">
        <v>81.9</v>
      </c>
      <c r="V109" s="47">
        <v>74.6</v>
      </c>
      <c r="W109" s="44">
        <v>13</v>
      </c>
      <c r="X109" s="44">
        <v>7</v>
      </c>
      <c r="Y109" s="44">
        <f>H109*13</f>
        <v>2392</v>
      </c>
      <c r="Z109" s="46">
        <v>55.8</v>
      </c>
      <c r="AA109" s="44">
        <v>84</v>
      </c>
      <c r="AB109" s="43">
        <f>(A109*746-(O109/100*(A109*746)))/(O109/100)</f>
        <v>6054.94276795007</v>
      </c>
      <c r="AC109" s="43">
        <f>(A109*746*0.75-(Q109/100*(A109*0.75*746)))/(Q109/100)</f>
        <v>4541.207075962545</v>
      </c>
      <c r="AD109" s="43">
        <f>AE109+1</f>
        <v>5</v>
      </c>
      <c r="AE109" s="43">
        <v>4</v>
      </c>
      <c r="AF109" s="43">
        <v>300</v>
      </c>
      <c r="AG109" s="43">
        <v>2060</v>
      </c>
      <c r="AH109" s="44">
        <f>AG109*$BB$1</f>
        <v>2678</v>
      </c>
      <c r="AI109" s="43">
        <v>831</v>
      </c>
      <c r="AJ109" s="47">
        <f>$BB$1*51.1</f>
        <v>66.43</v>
      </c>
      <c r="AK109" s="43">
        <v>2328</v>
      </c>
      <c r="AL109" s="43" t="s">
        <v>108</v>
      </c>
      <c r="AM109" s="43">
        <v>78</v>
      </c>
      <c r="AN109" s="43">
        <v>105</v>
      </c>
      <c r="AO109" s="43" t="s">
        <v>125</v>
      </c>
      <c r="AP109" s="1">
        <v>60</v>
      </c>
      <c r="AQ109" s="1">
        <v>60</v>
      </c>
      <c r="AW109" s="43"/>
      <c r="BA109" s="49"/>
    </row>
    <row r="110" spans="1:53" ht="14.25">
      <c r="A110" s="44">
        <v>200</v>
      </c>
      <c r="B110" s="44">
        <v>3600</v>
      </c>
      <c r="C110" s="45" t="s">
        <v>143</v>
      </c>
      <c r="D110" s="45" t="s">
        <v>143</v>
      </c>
      <c r="E110" s="43" t="s">
        <v>164</v>
      </c>
      <c r="F110" s="43">
        <v>3576</v>
      </c>
      <c r="G110" s="46">
        <v>46.4</v>
      </c>
      <c r="H110" s="53">
        <f>ROUND(A110*746*10000/(O110*T110*1.732*575),0)</f>
        <v>177</v>
      </c>
      <c r="I110" s="53">
        <f>ROUND(A110*0.75*746*10000/(Q110*U110*1.732*575),1)</f>
        <v>136.2</v>
      </c>
      <c r="J110" s="44">
        <v>1160</v>
      </c>
      <c r="K110" s="44">
        <f>ROUND(A110*5250/F110,0)</f>
        <v>294</v>
      </c>
      <c r="L110" s="53">
        <f>ROUND(A110*5250*0.75/(B110-((B110-F110)*0.75)),0)</f>
        <v>220</v>
      </c>
      <c r="M110" s="43">
        <v>230</v>
      </c>
      <c r="N110" s="43">
        <v>260</v>
      </c>
      <c r="O110" s="43">
        <v>96</v>
      </c>
      <c r="P110" s="47">
        <f>A110*746/(A110*746+(AB110*1.1))*100</f>
        <v>95.61752988047807</v>
      </c>
      <c r="Q110" s="43">
        <v>95.9</v>
      </c>
      <c r="R110" s="47">
        <f>ROUND(A110*0.75*746/(A110*0.75*746+(AC110*1.1))*100,1)</f>
        <v>95.5</v>
      </c>
      <c r="S110" s="43">
        <v>95.3</v>
      </c>
      <c r="T110" s="47">
        <v>88</v>
      </c>
      <c r="U110" s="47">
        <v>86</v>
      </c>
      <c r="V110" s="47">
        <v>79.8</v>
      </c>
      <c r="W110" s="44">
        <v>13</v>
      </c>
      <c r="X110" s="44">
        <v>7</v>
      </c>
      <c r="Y110" s="44">
        <f>H110*13</f>
        <v>2301</v>
      </c>
      <c r="Z110" s="46">
        <v>46.2</v>
      </c>
      <c r="AA110" s="44">
        <v>85</v>
      </c>
      <c r="AB110" s="43">
        <f>(A110*746-(O110/100*(A110*746)))/(O110/100)</f>
        <v>6216.666666666667</v>
      </c>
      <c r="AC110" s="43">
        <f>(A110*746*0.75-(Q110/100*(A110*0.75*746)))/(Q110/100)</f>
        <v>4784.045881126167</v>
      </c>
      <c r="AD110" s="43">
        <f>AE110+1</f>
        <v>3</v>
      </c>
      <c r="AE110" s="43">
        <v>2</v>
      </c>
      <c r="AF110" s="43">
        <v>600</v>
      </c>
      <c r="AG110" s="43">
        <v>561</v>
      </c>
      <c r="AH110" s="44">
        <f>AG110*$BB$1</f>
        <v>729.3000000000001</v>
      </c>
      <c r="AI110" s="43">
        <v>172</v>
      </c>
      <c r="AJ110" s="47">
        <f>$BB$1*41.5</f>
        <v>53.95</v>
      </c>
      <c r="AK110" s="43">
        <v>2311</v>
      </c>
      <c r="AL110" s="43" t="s">
        <v>108</v>
      </c>
      <c r="AM110" s="43">
        <v>66</v>
      </c>
      <c r="AN110" s="43">
        <v>83</v>
      </c>
      <c r="AO110" s="43" t="s">
        <v>125</v>
      </c>
      <c r="AP110" s="1">
        <v>50</v>
      </c>
      <c r="AQ110" s="1">
        <v>75</v>
      </c>
      <c r="AW110" s="43"/>
      <c r="BA110" s="49"/>
    </row>
    <row r="111" spans="1:53" ht="14.25">
      <c r="A111" s="43"/>
      <c r="B111" s="43"/>
      <c r="C111" s="51"/>
      <c r="D111" s="51"/>
      <c r="E111" s="43"/>
      <c r="F111" s="43"/>
      <c r="G111" s="43"/>
      <c r="H111" s="44"/>
      <c r="I111" s="44"/>
      <c r="J111" s="44"/>
      <c r="K111" s="44"/>
      <c r="L111" s="44"/>
      <c r="M111" s="43"/>
      <c r="N111" s="43"/>
      <c r="O111" s="43"/>
      <c r="P111" s="43"/>
      <c r="Q111" s="43"/>
      <c r="R111" s="43"/>
      <c r="S111" s="43"/>
      <c r="T111" s="43"/>
      <c r="U111" s="47"/>
      <c r="V111" s="47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4"/>
      <c r="AI111" s="43"/>
      <c r="AJ111" s="47"/>
      <c r="AK111" s="43"/>
      <c r="AL111" s="43"/>
      <c r="AM111" s="43"/>
      <c r="AN111" s="43"/>
      <c r="AO111" s="43"/>
      <c r="AW111" s="43"/>
      <c r="BA111" s="49"/>
    </row>
    <row r="112" spans="1:53" ht="14.25">
      <c r="A112" s="44">
        <v>250</v>
      </c>
      <c r="B112" s="44">
        <v>900</v>
      </c>
      <c r="C112" s="45" t="s">
        <v>159</v>
      </c>
      <c r="D112" s="45" t="s">
        <v>160</v>
      </c>
      <c r="E112" s="43" t="s">
        <v>161</v>
      </c>
      <c r="F112" s="43">
        <v>887</v>
      </c>
      <c r="G112" s="43">
        <v>81</v>
      </c>
      <c r="H112" s="53">
        <f>ROUND(A112*746*10000/(O112*T112*1.732*575),0)</f>
        <v>234</v>
      </c>
      <c r="I112" s="53">
        <f>ROUND(A112*0.75*746*10000/(Q112*U112*1.732*575),1)</f>
        <v>180.7</v>
      </c>
      <c r="J112" s="44">
        <v>1680</v>
      </c>
      <c r="K112" s="44">
        <f>ROUND(A112*5250/F112,0)</f>
        <v>1480</v>
      </c>
      <c r="L112" s="53">
        <f>ROUND(A112*5250*0.75/(B112-((B112-F112)*0.75)),0)</f>
        <v>1106</v>
      </c>
      <c r="M112" s="43">
        <v>240</v>
      </c>
      <c r="N112" s="43">
        <v>285</v>
      </c>
      <c r="O112" s="43">
        <v>93.6</v>
      </c>
      <c r="P112" s="47">
        <f>A112*746/(A112*746+(AB112*1.1))*100</f>
        <v>93.0047694753577</v>
      </c>
      <c r="Q112" s="43">
        <v>94</v>
      </c>
      <c r="R112" s="47">
        <f>ROUND(A112*0.75*746/(A112*0.75*746+(AC112*1.2))*100,1)</f>
        <v>92.9</v>
      </c>
      <c r="S112" s="43">
        <v>93.7</v>
      </c>
      <c r="T112" s="43">
        <v>85.4</v>
      </c>
      <c r="U112" s="47">
        <v>82.7</v>
      </c>
      <c r="V112" s="47">
        <v>74.8</v>
      </c>
      <c r="W112" s="44">
        <v>29</v>
      </c>
      <c r="X112" s="44">
        <v>10</v>
      </c>
      <c r="Y112" s="44">
        <f>H112*13</f>
        <v>3042</v>
      </c>
      <c r="Z112" s="44"/>
      <c r="AA112" s="44"/>
      <c r="AB112" s="43">
        <f aca="true" t="shared" si="0" ref="AB112:AB124">(A112*746-(O112/100*(A112*746)))/(O112/100)</f>
        <v>12752.136752136754</v>
      </c>
      <c r="AC112" s="43">
        <f>(A112*746*0.75-(Q112/100*(A112*0.75*746)))/(Q112/100)</f>
        <v>8928.191489361703</v>
      </c>
      <c r="AD112" s="43"/>
      <c r="AE112" s="43"/>
      <c r="AF112" s="43"/>
      <c r="AG112" s="43">
        <v>14400</v>
      </c>
      <c r="AH112" s="44">
        <f>AG112*1</f>
        <v>14400</v>
      </c>
      <c r="AI112" s="43">
        <v>5540</v>
      </c>
      <c r="AJ112" s="47" t="s">
        <v>107</v>
      </c>
      <c r="AK112" s="43">
        <v>5511</v>
      </c>
      <c r="AL112" s="43" t="s">
        <v>108</v>
      </c>
      <c r="AM112" s="43">
        <v>77</v>
      </c>
      <c r="AN112" s="43">
        <v>105</v>
      </c>
      <c r="AO112" s="43" t="s">
        <v>125</v>
      </c>
      <c r="AP112" s="1" t="s">
        <v>110</v>
      </c>
      <c r="AQ112" s="1" t="s">
        <v>110</v>
      </c>
      <c r="AW112" s="43"/>
      <c r="BA112" s="49"/>
    </row>
    <row r="113" spans="1:53" ht="14.25">
      <c r="A113" s="44">
        <v>250</v>
      </c>
      <c r="B113" s="44">
        <v>1200</v>
      </c>
      <c r="C113" s="45" t="s">
        <v>159</v>
      </c>
      <c r="D113" s="45" t="s">
        <v>160</v>
      </c>
      <c r="E113" s="43" t="s">
        <v>165</v>
      </c>
      <c r="F113" s="43">
        <v>1188</v>
      </c>
      <c r="G113" s="43">
        <v>87</v>
      </c>
      <c r="H113" s="53">
        <f>ROUND(A113*746*10000/(O113*T113*1.732*575),0)</f>
        <v>241</v>
      </c>
      <c r="I113" s="53">
        <f>ROUND(A113*0.75*746*10000/(Q113*U113*1.732*575),1)</f>
        <v>189.2</v>
      </c>
      <c r="J113" s="44">
        <v>1460</v>
      </c>
      <c r="K113" s="44">
        <f>ROUND(A113*5250/F113,0)</f>
        <v>1105</v>
      </c>
      <c r="L113" s="53">
        <f>ROUND(A113*5250*0.75/(B113-((B113-F113)*0.75)),0)</f>
        <v>827</v>
      </c>
      <c r="M113" s="43">
        <v>170</v>
      </c>
      <c r="N113" s="43">
        <v>220</v>
      </c>
      <c r="O113" s="43">
        <v>95.8</v>
      </c>
      <c r="P113" s="47">
        <f>A113*746/(A113*746+(AB113*1.1))*100</f>
        <v>95.39932284405496</v>
      </c>
      <c r="Q113" s="43">
        <v>95.8</v>
      </c>
      <c r="R113" s="47">
        <f>ROUND(A113*0.75*746/(A113*0.75*746+(AC113*1.1))*100,1)</f>
        <v>95.4</v>
      </c>
      <c r="S113" s="43">
        <v>95.7</v>
      </c>
      <c r="T113" s="43">
        <v>81.2</v>
      </c>
      <c r="U113" s="47">
        <v>77.5</v>
      </c>
      <c r="V113" s="47">
        <v>69</v>
      </c>
      <c r="W113" s="44">
        <v>22</v>
      </c>
      <c r="X113" s="44">
        <v>12</v>
      </c>
      <c r="Y113" s="44">
        <f>H113*13</f>
        <v>3133</v>
      </c>
      <c r="Z113" s="44"/>
      <c r="AA113" s="44"/>
      <c r="AB113" s="43">
        <f t="shared" si="0"/>
        <v>8176.409185803758</v>
      </c>
      <c r="AC113" s="43">
        <f>(A113*746*0.75-(Q113/100*(A113*0.75*746)))/(Q113/100)</f>
        <v>6132.306889352819</v>
      </c>
      <c r="AD113" s="43">
        <f>AE113+1</f>
        <v>5</v>
      </c>
      <c r="AE113" s="43">
        <v>4</v>
      </c>
      <c r="AF113" s="43">
        <v>440</v>
      </c>
      <c r="AG113" s="43">
        <v>7950</v>
      </c>
      <c r="AH113" s="44">
        <f>AG113*$BB$1</f>
        <v>10335</v>
      </c>
      <c r="AI113" s="43">
        <v>2744</v>
      </c>
      <c r="AJ113" s="47">
        <v>256</v>
      </c>
      <c r="AK113" s="43">
        <v>4056</v>
      </c>
      <c r="AL113" s="43" t="s">
        <v>108</v>
      </c>
      <c r="AM113" s="43">
        <v>67</v>
      </c>
      <c r="AN113" s="43">
        <v>85</v>
      </c>
      <c r="AO113" s="43" t="s">
        <v>125</v>
      </c>
      <c r="AP113" s="1" t="s">
        <v>110</v>
      </c>
      <c r="AQ113" s="1" t="s">
        <v>110</v>
      </c>
      <c r="AW113" s="43"/>
      <c r="BA113" s="49"/>
    </row>
    <row r="114" spans="1:53" ht="14.25">
      <c r="A114" s="44">
        <v>250</v>
      </c>
      <c r="B114" s="44">
        <v>1800</v>
      </c>
      <c r="C114" s="45" t="s">
        <v>162</v>
      </c>
      <c r="D114" s="45">
        <v>6318</v>
      </c>
      <c r="E114" s="43" t="s">
        <v>155</v>
      </c>
      <c r="F114" s="43">
        <v>1788</v>
      </c>
      <c r="G114" s="43">
        <v>71</v>
      </c>
      <c r="H114" s="53">
        <f>ROUND(A114*746*10000/(O114*T114*1.732*575),0)</f>
        <v>229</v>
      </c>
      <c r="I114" s="53">
        <f>ROUND(A114*0.75*746*10000/(Q114*U114*1.732*575),1)</f>
        <v>178</v>
      </c>
      <c r="J114" s="44">
        <v>1440</v>
      </c>
      <c r="K114" s="44">
        <f>ROUND(A114*5250/F114,0)</f>
        <v>734</v>
      </c>
      <c r="L114" s="53">
        <f>ROUND(A114*5250*0.75/(B114-((B114-F114)*0.75)),0)</f>
        <v>550</v>
      </c>
      <c r="M114" s="43">
        <v>230</v>
      </c>
      <c r="N114" s="43">
        <v>240</v>
      </c>
      <c r="O114" s="43">
        <v>96.2</v>
      </c>
      <c r="P114" s="47">
        <f>A114*746/(A114*746+(AB114*1.1))*100</f>
        <v>95.83582386929666</v>
      </c>
      <c r="Q114" s="43">
        <v>95.9</v>
      </c>
      <c r="R114" s="47">
        <f>ROUND(A114*0.75*746/(A114*0.75*746+(AC114*1.1))*100,1)</f>
        <v>95.5</v>
      </c>
      <c r="S114" s="43">
        <v>95</v>
      </c>
      <c r="T114" s="43">
        <v>85.1</v>
      </c>
      <c r="U114" s="47">
        <v>82.3</v>
      </c>
      <c r="V114" s="47">
        <v>75.3</v>
      </c>
      <c r="W114" s="44">
        <v>14</v>
      </c>
      <c r="X114" s="44">
        <v>7</v>
      </c>
      <c r="Y114" s="44">
        <f>H114*13</f>
        <v>2977</v>
      </c>
      <c r="Z114" s="44"/>
      <c r="AA114" s="44"/>
      <c r="AB114" s="43">
        <f t="shared" si="0"/>
        <v>7366.943866943866</v>
      </c>
      <c r="AC114" s="43">
        <f>(A114*746*0.75-(Q114/100*(A114*0.75*746)))/(Q114/100)</f>
        <v>5980.057351407716</v>
      </c>
      <c r="AD114" s="43">
        <f>AE114+1</f>
        <v>5</v>
      </c>
      <c r="AE114" s="43">
        <v>4</v>
      </c>
      <c r="AF114" s="43">
        <v>500</v>
      </c>
      <c r="AG114" s="43">
        <v>2800</v>
      </c>
      <c r="AH114" s="44">
        <f>AG114*$BB$1</f>
        <v>3640</v>
      </c>
      <c r="AI114" s="43">
        <v>1017</v>
      </c>
      <c r="AJ114" s="47">
        <v>93.2</v>
      </c>
      <c r="AK114" s="43">
        <v>3051</v>
      </c>
      <c r="AL114" s="43" t="s">
        <v>108</v>
      </c>
      <c r="AM114" s="43">
        <v>57</v>
      </c>
      <c r="AN114" s="43">
        <v>78</v>
      </c>
      <c r="AO114" s="43" t="s">
        <v>125</v>
      </c>
      <c r="AP114" s="1" t="s">
        <v>110</v>
      </c>
      <c r="AQ114" s="1" t="s">
        <v>110</v>
      </c>
      <c r="AW114" s="43"/>
      <c r="BA114" s="49"/>
    </row>
    <row r="115" spans="1:53" ht="14.25">
      <c r="A115" s="44">
        <v>250</v>
      </c>
      <c r="B115" s="44">
        <v>3600</v>
      </c>
      <c r="C115" s="45" t="s">
        <v>143</v>
      </c>
      <c r="D115" s="45" t="s">
        <v>143</v>
      </c>
      <c r="E115" s="43" t="s">
        <v>166</v>
      </c>
      <c r="F115" s="43">
        <v>3582</v>
      </c>
      <c r="G115" s="43">
        <v>42</v>
      </c>
      <c r="H115" s="53">
        <f>ROUND(A115*746*10000/(O115*T115*1.732*575),0)</f>
        <v>222</v>
      </c>
      <c r="I115" s="53">
        <f>ROUND(A115*0.75*746*10000/(Q115*U115*1.732*575),1)</f>
        <v>169.6</v>
      </c>
      <c r="J115" s="44">
        <v>1440</v>
      </c>
      <c r="K115" s="44">
        <f>ROUND(A115*5250/F115,0)</f>
        <v>366</v>
      </c>
      <c r="L115" s="53">
        <f>ROUND(A115*5250*0.75/(B115-((B115-F115)*0.75)),0)</f>
        <v>274</v>
      </c>
      <c r="M115" s="43">
        <v>214</v>
      </c>
      <c r="N115" s="43">
        <v>247</v>
      </c>
      <c r="O115" s="43">
        <v>95</v>
      </c>
      <c r="P115" s="47">
        <f>A115*746/(A115*746+(AB115*1.1))*100</f>
        <v>94.52736318407959</v>
      </c>
      <c r="Q115" s="43">
        <v>95.2</v>
      </c>
      <c r="R115" s="47">
        <f>ROUND(A115*0.75*746/(A115*0.75*746+(AC115*1.1))*100,1)</f>
        <v>94.7</v>
      </c>
      <c r="S115" s="43">
        <v>95</v>
      </c>
      <c r="T115" s="43">
        <v>88.6</v>
      </c>
      <c r="U115" s="47">
        <v>87</v>
      </c>
      <c r="V115" s="47">
        <v>81.8</v>
      </c>
      <c r="W115" s="44">
        <v>15</v>
      </c>
      <c r="X115" s="44">
        <v>8</v>
      </c>
      <c r="Y115" s="44">
        <f>H115*13</f>
        <v>2886</v>
      </c>
      <c r="Z115" s="44"/>
      <c r="AA115" s="44"/>
      <c r="AB115" s="43">
        <f t="shared" si="0"/>
        <v>9815.789473684212</v>
      </c>
      <c r="AC115" s="43">
        <f>(A115*746*0.75-(Q115/100*(A115*0.75*746)))/(Q115/100)</f>
        <v>7052.521008403361</v>
      </c>
      <c r="AD115" s="43">
        <f>AE115+1</f>
        <v>3</v>
      </c>
      <c r="AE115" s="43">
        <v>2</v>
      </c>
      <c r="AF115" s="43">
        <v>1000</v>
      </c>
      <c r="AG115" s="43">
        <v>593</v>
      </c>
      <c r="AH115" s="44">
        <f>AG115*$BB$1</f>
        <v>770.9</v>
      </c>
      <c r="AI115" s="43">
        <v>210</v>
      </c>
      <c r="AJ115" s="47">
        <v>61.7</v>
      </c>
      <c r="AK115" s="43">
        <v>3048</v>
      </c>
      <c r="AL115" s="43" t="s">
        <v>108</v>
      </c>
      <c r="AM115" s="43">
        <v>61</v>
      </c>
      <c r="AN115" s="43">
        <v>70</v>
      </c>
      <c r="AO115" s="43" t="s">
        <v>125</v>
      </c>
      <c r="AP115" s="1" t="s">
        <v>110</v>
      </c>
      <c r="AQ115" s="1" t="s">
        <v>110</v>
      </c>
      <c r="AW115" s="43"/>
      <c r="BA115" s="49"/>
    </row>
    <row r="116" spans="1:53" ht="14.25">
      <c r="A116" s="44"/>
      <c r="B116" s="44"/>
      <c r="C116" s="45"/>
      <c r="D116" s="45"/>
      <c r="E116" s="43"/>
      <c r="F116" s="43"/>
      <c r="G116" s="43"/>
      <c r="H116" s="44"/>
      <c r="I116" s="44"/>
      <c r="J116" s="44"/>
      <c r="K116" s="44"/>
      <c r="L116" s="44"/>
      <c r="M116" s="43"/>
      <c r="N116" s="43"/>
      <c r="O116" s="43"/>
      <c r="P116" s="47"/>
      <c r="Q116" s="43"/>
      <c r="R116" s="47"/>
      <c r="S116" s="43"/>
      <c r="T116" s="43"/>
      <c r="U116" s="47"/>
      <c r="V116" s="47"/>
      <c r="W116" s="44"/>
      <c r="X116" s="44"/>
      <c r="Y116" s="44"/>
      <c r="Z116" s="44"/>
      <c r="AA116" s="44"/>
      <c r="AB116" s="43"/>
      <c r="AC116" s="43"/>
      <c r="AD116" s="43"/>
      <c r="AE116" s="43"/>
      <c r="AF116" s="43"/>
      <c r="AG116" s="43"/>
      <c r="AH116" s="44"/>
      <c r="AI116" s="43"/>
      <c r="AJ116" s="47"/>
      <c r="AK116" s="43"/>
      <c r="AL116" s="43"/>
      <c r="AM116" s="43"/>
      <c r="AN116" s="43"/>
      <c r="AO116" s="43"/>
      <c r="AW116" s="43"/>
      <c r="BA116" s="49"/>
    </row>
    <row r="117" spans="1:53" ht="14.25">
      <c r="A117" s="44">
        <v>300</v>
      </c>
      <c r="B117" s="44">
        <v>1200</v>
      </c>
      <c r="C117" s="45" t="s">
        <v>159</v>
      </c>
      <c r="D117" s="45" t="s">
        <v>160</v>
      </c>
      <c r="E117" s="43" t="s">
        <v>165</v>
      </c>
      <c r="F117" s="43">
        <v>1188</v>
      </c>
      <c r="G117" s="43">
        <v>107</v>
      </c>
      <c r="H117" s="53">
        <f>ROUND(A117*746*10000/(O117*T117*1.732*575),0)</f>
        <v>290</v>
      </c>
      <c r="I117" s="53">
        <f>ROUND(A117*0.75*746*10000/(Q117*U117*1.732*575),1)</f>
        <v>228.3</v>
      </c>
      <c r="J117" s="43">
        <v>1760</v>
      </c>
      <c r="K117" s="44">
        <f>A117*5250/B117</f>
        <v>1312.5</v>
      </c>
      <c r="L117" s="53">
        <f>ROUND(A117*5250*0.75/(B117-((B117-F117)*0.75)),0)</f>
        <v>992</v>
      </c>
      <c r="M117" s="43">
        <v>160</v>
      </c>
      <c r="N117" s="43">
        <v>205</v>
      </c>
      <c r="O117" s="43">
        <v>96.2</v>
      </c>
      <c r="P117" s="43">
        <v>95.8</v>
      </c>
      <c r="Q117" s="43">
        <v>96</v>
      </c>
      <c r="R117" s="47">
        <f>ROUND(A117*0.75*746/(A117*0.75*746+(AC117*1.1))*100,1)</f>
        <v>95.6</v>
      </c>
      <c r="S117" s="43">
        <v>95.9</v>
      </c>
      <c r="T117" s="43">
        <v>80.6</v>
      </c>
      <c r="U117" s="47">
        <v>76.9</v>
      </c>
      <c r="V117" s="47">
        <v>68.5</v>
      </c>
      <c r="W117" s="43">
        <v>16</v>
      </c>
      <c r="X117" s="43">
        <v>9</v>
      </c>
      <c r="Y117" s="43"/>
      <c r="Z117" s="43"/>
      <c r="AA117" s="43"/>
      <c r="AB117" s="43">
        <f t="shared" si="0"/>
        <v>8840.332640332634</v>
      </c>
      <c r="AC117" s="43">
        <f>(A117*746*0.75-(Q117/100*(A117*0.75*746)))/(Q117/100)</f>
        <v>6993.75</v>
      </c>
      <c r="AD117" s="43"/>
      <c r="AE117" s="43"/>
      <c r="AF117" s="43"/>
      <c r="AG117" s="43">
        <v>8800</v>
      </c>
      <c r="AH117" s="44">
        <f>AG117*$BB$1</f>
        <v>11440</v>
      </c>
      <c r="AI117" s="43">
        <v>3239</v>
      </c>
      <c r="AJ117" s="43"/>
      <c r="AK117" s="43">
        <v>3967</v>
      </c>
      <c r="AL117" s="43" t="s">
        <v>108</v>
      </c>
      <c r="AM117" s="43">
        <v>73</v>
      </c>
      <c r="AN117" s="43">
        <v>104</v>
      </c>
      <c r="AO117" s="43" t="s">
        <v>125</v>
      </c>
      <c r="AP117" s="1" t="s">
        <v>110</v>
      </c>
      <c r="AQ117" s="1" t="s">
        <v>110</v>
      </c>
      <c r="AW117" s="43"/>
      <c r="BA117" s="49"/>
    </row>
    <row r="118" spans="1:53" ht="14.25">
      <c r="A118" s="44">
        <v>300</v>
      </c>
      <c r="B118" s="44">
        <v>1800</v>
      </c>
      <c r="C118" s="45" t="s">
        <v>159</v>
      </c>
      <c r="D118" s="45" t="s">
        <v>160</v>
      </c>
      <c r="E118" s="43" t="s">
        <v>165</v>
      </c>
      <c r="F118" s="43">
        <v>1788</v>
      </c>
      <c r="G118" s="43">
        <v>54</v>
      </c>
      <c r="H118" s="53">
        <f>ROUND(A118*746*10000/(O118*T118*1.732*575),0)</f>
        <v>263</v>
      </c>
      <c r="I118" s="53">
        <f>ROUND(A118*0.75*746*10000/(Q118*U118*1.732*575),1)</f>
        <v>198.7</v>
      </c>
      <c r="J118" s="43">
        <v>1600</v>
      </c>
      <c r="K118" s="44">
        <f>A118*5250/B118</f>
        <v>875</v>
      </c>
      <c r="L118" s="53">
        <f>ROUND(A118*5250*0.75/(B118-((B118-F118)*0.75)),0)</f>
        <v>660</v>
      </c>
      <c r="M118" s="43">
        <v>150</v>
      </c>
      <c r="N118" s="43">
        <v>220</v>
      </c>
      <c r="O118" s="43">
        <v>96.5</v>
      </c>
      <c r="P118" s="43">
        <v>96.2</v>
      </c>
      <c r="Q118" s="43">
        <v>96.6</v>
      </c>
      <c r="R118" s="47">
        <f>ROUND(A118*0.75*746/(A118*0.75*746+(AC118*1.1))*100,1)</f>
        <v>96.3</v>
      </c>
      <c r="S118" s="43">
        <v>96.1</v>
      </c>
      <c r="T118" s="43">
        <v>88.5</v>
      </c>
      <c r="U118" s="47">
        <v>87.8</v>
      </c>
      <c r="V118" s="47">
        <v>84.8</v>
      </c>
      <c r="W118" s="43">
        <v>16</v>
      </c>
      <c r="X118" s="43">
        <v>9</v>
      </c>
      <c r="Y118" s="43"/>
      <c r="Z118" s="43"/>
      <c r="AA118" s="43"/>
      <c r="AB118" s="43">
        <f t="shared" si="0"/>
        <v>8117.098445595855</v>
      </c>
      <c r="AC118" s="43">
        <f>(A118*746*0.75-(Q118/100*(A118*0.75*746)))/(Q118/100)</f>
        <v>5907.763975155273</v>
      </c>
      <c r="AD118" s="43"/>
      <c r="AE118" s="43"/>
      <c r="AF118" s="43"/>
      <c r="AG118" s="43">
        <v>3610</v>
      </c>
      <c r="AH118" s="44">
        <f>AG118*$BB$1</f>
        <v>4693</v>
      </c>
      <c r="AI118" s="43">
        <v>1197</v>
      </c>
      <c r="AJ118" s="43"/>
      <c r="AK118" s="43">
        <v>3781</v>
      </c>
      <c r="AL118" s="43" t="s">
        <v>108</v>
      </c>
      <c r="AM118" s="43">
        <v>69</v>
      </c>
      <c r="AN118" s="43">
        <v>86</v>
      </c>
      <c r="AO118" s="43" t="s">
        <v>125</v>
      </c>
      <c r="AP118" s="1" t="s">
        <v>110</v>
      </c>
      <c r="AQ118" s="1" t="s">
        <v>110</v>
      </c>
      <c r="AW118" s="43"/>
      <c r="BA118" s="49"/>
    </row>
    <row r="119" spans="1:53" ht="14.25">
      <c r="A119" s="44">
        <v>300</v>
      </c>
      <c r="B119" s="44">
        <v>3600</v>
      </c>
      <c r="C119" s="45" t="s">
        <v>160</v>
      </c>
      <c r="D119" s="45" t="s">
        <v>160</v>
      </c>
      <c r="E119" s="43" t="s">
        <v>167</v>
      </c>
      <c r="F119" s="43">
        <v>3582</v>
      </c>
      <c r="G119" s="43">
        <v>50</v>
      </c>
      <c r="H119" s="53">
        <f>ROUND(A119*746*10000/(O119*T119*1.732*575),0)</f>
        <v>260</v>
      </c>
      <c r="I119" s="53">
        <f>ROUND(A119*0.75*746*10000/(Q119*U119*1.732*575),1)</f>
        <v>196.2</v>
      </c>
      <c r="J119" s="43">
        <v>1760</v>
      </c>
      <c r="K119" s="44">
        <f>A119*5250/B119</f>
        <v>437.5</v>
      </c>
      <c r="L119" s="53">
        <f>ROUND(A119*5250*0.75/(B119-((B119-F119)*0.75)),0)</f>
        <v>329</v>
      </c>
      <c r="M119" s="43">
        <v>145</v>
      </c>
      <c r="N119" s="43">
        <v>255</v>
      </c>
      <c r="O119" s="43">
        <v>95.8</v>
      </c>
      <c r="P119" s="43">
        <v>95.4</v>
      </c>
      <c r="Q119" s="43">
        <v>96</v>
      </c>
      <c r="R119" s="47">
        <f>ROUND(A119*0.75*746/(A119*0.75*746+(AC119*1.1))*100,1)</f>
        <v>95.6</v>
      </c>
      <c r="S119" s="43">
        <v>95.4</v>
      </c>
      <c r="T119" s="43">
        <v>90.2</v>
      </c>
      <c r="U119" s="47">
        <v>89.5</v>
      </c>
      <c r="V119" s="47">
        <v>86</v>
      </c>
      <c r="W119" s="43">
        <v>16</v>
      </c>
      <c r="X119" s="43">
        <v>9</v>
      </c>
      <c r="Y119" s="43"/>
      <c r="Z119" s="43"/>
      <c r="AA119" s="43"/>
      <c r="AB119" s="43">
        <f t="shared" si="0"/>
        <v>9811.691022964516</v>
      </c>
      <c r="AC119" s="43">
        <f>(A119*746*0.75-(Q119/100*(A119*0.75*746)))/(Q119/100)</f>
        <v>6993.75</v>
      </c>
      <c r="AD119" s="43"/>
      <c r="AE119" s="43"/>
      <c r="AF119" s="43"/>
      <c r="AG119" s="43">
        <v>873</v>
      </c>
      <c r="AH119" s="44">
        <f>AG119*$BB$1</f>
        <v>1134.9</v>
      </c>
      <c r="AI119" s="43">
        <v>1197</v>
      </c>
      <c r="AJ119" s="43"/>
      <c r="AK119" s="43">
        <v>3954</v>
      </c>
      <c r="AL119" s="43" t="s">
        <v>108</v>
      </c>
      <c r="AM119" s="43">
        <v>74</v>
      </c>
      <c r="AN119" s="43">
        <v>93</v>
      </c>
      <c r="AO119" s="43" t="s">
        <v>125</v>
      </c>
      <c r="AP119" s="1" t="s">
        <v>110</v>
      </c>
      <c r="AQ119" s="1" t="s">
        <v>110</v>
      </c>
      <c r="AW119" s="43"/>
      <c r="BA119" s="49"/>
    </row>
    <row r="120" spans="1:53" ht="14.25">
      <c r="A120" s="44"/>
      <c r="B120" s="44"/>
      <c r="C120" s="45"/>
      <c r="D120" s="45"/>
      <c r="E120" s="43"/>
      <c r="F120" s="43"/>
      <c r="G120" s="43"/>
      <c r="H120" s="53"/>
      <c r="I120" s="53"/>
      <c r="J120" s="43"/>
      <c r="K120" s="44"/>
      <c r="L120" s="53"/>
      <c r="M120" s="43"/>
      <c r="N120" s="43"/>
      <c r="O120" s="43"/>
      <c r="P120" s="43"/>
      <c r="Q120" s="43"/>
      <c r="R120" s="43"/>
      <c r="S120" s="43"/>
      <c r="T120" s="43"/>
      <c r="U120" s="47"/>
      <c r="V120" s="47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4"/>
      <c r="AI120" s="43"/>
      <c r="AJ120" s="43"/>
      <c r="AK120" s="43"/>
      <c r="AL120" s="43"/>
      <c r="AM120" s="43"/>
      <c r="AN120" s="43"/>
      <c r="AO120" s="43"/>
      <c r="AW120" s="43"/>
      <c r="BA120" s="49"/>
    </row>
    <row r="121" spans="1:53" ht="14.25">
      <c r="A121" s="44">
        <v>350</v>
      </c>
      <c r="B121" s="44">
        <v>1200</v>
      </c>
      <c r="C121" s="45"/>
      <c r="D121" s="45"/>
      <c r="E121" s="43" t="s">
        <v>167</v>
      </c>
      <c r="F121" s="43">
        <v>1185</v>
      </c>
      <c r="G121" s="43">
        <v>142</v>
      </c>
      <c r="H121" s="53">
        <f>ROUND(A121*746*10000/(O121*T121*1.732*575),0)</f>
        <v>346</v>
      </c>
      <c r="I121" s="53"/>
      <c r="J121" s="43">
        <f>2485*460/575</f>
        <v>1988</v>
      </c>
      <c r="K121" s="44"/>
      <c r="L121" s="53"/>
      <c r="M121" s="43">
        <v>167</v>
      </c>
      <c r="N121" s="43">
        <v>194</v>
      </c>
      <c r="O121" s="43">
        <v>95.8</v>
      </c>
      <c r="P121" s="43"/>
      <c r="Q121" s="43"/>
      <c r="R121" s="43"/>
      <c r="S121" s="43"/>
      <c r="T121" s="43">
        <v>79.2</v>
      </c>
      <c r="U121" s="47"/>
      <c r="V121" s="47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4"/>
      <c r="AI121" s="43"/>
      <c r="AJ121" s="43"/>
      <c r="AK121" s="43"/>
      <c r="AL121" s="43"/>
      <c r="AM121" s="43">
        <v>79</v>
      </c>
      <c r="AN121" s="43" t="s">
        <v>168</v>
      </c>
      <c r="AO121" s="43" t="s">
        <v>125</v>
      </c>
      <c r="AP121" s="1" t="s">
        <v>110</v>
      </c>
      <c r="AQ121" s="1" t="s">
        <v>110</v>
      </c>
      <c r="AW121" s="43"/>
      <c r="BA121" s="49"/>
    </row>
    <row r="122" spans="1:53" ht="14.25">
      <c r="A122" s="44">
        <v>350</v>
      </c>
      <c r="B122" s="44">
        <v>1800</v>
      </c>
      <c r="C122" s="45" t="s">
        <v>160</v>
      </c>
      <c r="D122" s="45" t="s">
        <v>160</v>
      </c>
      <c r="E122" s="43" t="s">
        <v>167</v>
      </c>
      <c r="F122" s="43">
        <v>1788</v>
      </c>
      <c r="G122" s="43">
        <v>70</v>
      </c>
      <c r="H122" s="53">
        <f>ROUND(A122*746*10000/(O122*T122*1.732*575),0)</f>
        <v>310</v>
      </c>
      <c r="I122" s="53">
        <f>ROUND(A122*0.75*746*10000/(Q122*U122*1.732*575),1)</f>
        <v>235.2</v>
      </c>
      <c r="J122" s="43">
        <v>2000</v>
      </c>
      <c r="K122" s="44">
        <f>A122*5250/B122</f>
        <v>1020.8333333333334</v>
      </c>
      <c r="L122" s="53">
        <f>ROUND(A122*5250*0.75/(B122-((B122-F122)*0.75)),0)</f>
        <v>769</v>
      </c>
      <c r="M122" s="43">
        <v>175</v>
      </c>
      <c r="N122" s="43">
        <v>230</v>
      </c>
      <c r="O122" s="43">
        <v>96.2</v>
      </c>
      <c r="P122" s="43">
        <v>95.8</v>
      </c>
      <c r="Q122" s="43">
        <v>96.2</v>
      </c>
      <c r="R122" s="47">
        <f>ROUND(A122*0.75*746/(A122*0.75*746+(AC122*1.1))*100,1)</f>
        <v>95.8</v>
      </c>
      <c r="S122" s="43">
        <v>95.5</v>
      </c>
      <c r="T122" s="43">
        <v>88</v>
      </c>
      <c r="U122" s="47">
        <v>86.9</v>
      </c>
      <c r="V122" s="47">
        <v>82.3</v>
      </c>
      <c r="W122" s="43">
        <v>16</v>
      </c>
      <c r="X122" s="43">
        <v>9</v>
      </c>
      <c r="Y122" s="43"/>
      <c r="Z122" s="43"/>
      <c r="AA122" s="43"/>
      <c r="AB122" s="43">
        <f t="shared" si="0"/>
        <v>10313.721413721401</v>
      </c>
      <c r="AC122" s="43">
        <f>(A122*746*0.75-(Q122/100*(A122*0.75*746)))/(Q122/100)</f>
        <v>7735.291060291035</v>
      </c>
      <c r="AD122" s="43"/>
      <c r="AE122" s="43"/>
      <c r="AF122" s="43"/>
      <c r="AG122" s="43">
        <v>3990</v>
      </c>
      <c r="AH122" s="44">
        <f>AG122*$BB$1</f>
        <v>5187</v>
      </c>
      <c r="AI122" s="43">
        <v>1197</v>
      </c>
      <c r="AJ122" s="43"/>
      <c r="AK122" s="43">
        <v>3909</v>
      </c>
      <c r="AL122" s="43" t="s">
        <v>108</v>
      </c>
      <c r="AM122" s="43">
        <v>65</v>
      </c>
      <c r="AN122" s="43">
        <v>80</v>
      </c>
      <c r="AO122" s="43" t="s">
        <v>125</v>
      </c>
      <c r="AP122" s="1" t="s">
        <v>110</v>
      </c>
      <c r="AQ122" s="1" t="s">
        <v>110</v>
      </c>
      <c r="AW122" s="43"/>
      <c r="BA122" s="49"/>
    </row>
    <row r="123" spans="1:53" ht="14.25">
      <c r="A123" s="43"/>
      <c r="B123" s="43"/>
      <c r="C123" s="51"/>
      <c r="D123" s="51"/>
      <c r="E123" s="43"/>
      <c r="F123" s="43"/>
      <c r="G123" s="43"/>
      <c r="H123" s="53"/>
      <c r="I123" s="53"/>
      <c r="J123" s="43"/>
      <c r="K123" s="43"/>
      <c r="L123" s="53"/>
      <c r="M123" s="43"/>
      <c r="N123" s="43"/>
      <c r="O123" s="43"/>
      <c r="P123" s="43"/>
      <c r="Q123" s="43"/>
      <c r="R123" s="47"/>
      <c r="S123" s="43"/>
      <c r="T123" s="43"/>
      <c r="U123" s="47"/>
      <c r="V123" s="47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W123" s="43"/>
      <c r="BA123" s="49"/>
    </row>
    <row r="124" spans="1:53" ht="14.25">
      <c r="A124" s="44">
        <v>400</v>
      </c>
      <c r="B124" s="44">
        <v>1800</v>
      </c>
      <c r="C124" s="45" t="s">
        <v>160</v>
      </c>
      <c r="D124" s="45" t="s">
        <v>160</v>
      </c>
      <c r="E124" s="43" t="s">
        <v>167</v>
      </c>
      <c r="F124" s="43">
        <v>1788</v>
      </c>
      <c r="G124" s="43">
        <v>92</v>
      </c>
      <c r="H124" s="53">
        <f>ROUND(A124*746*10000/(O124*T124*1.732*575),0)</f>
        <v>359</v>
      </c>
      <c r="I124" s="53">
        <f>ROUND(A124*0.75*746*10000/(Q124*U124*1.732*575),1)</f>
        <v>275.7</v>
      </c>
      <c r="J124" s="43">
        <v>2240</v>
      </c>
      <c r="K124" s="44">
        <f>A124*5250/B124</f>
        <v>1166.6666666666667</v>
      </c>
      <c r="L124" s="53">
        <f>ROUND(A124*5250*0.75/(B124-((B124-F124)*0.75)),0)</f>
        <v>879</v>
      </c>
      <c r="M124" s="43">
        <v>180</v>
      </c>
      <c r="N124" s="43">
        <v>240</v>
      </c>
      <c r="O124" s="43">
        <v>96.2</v>
      </c>
      <c r="P124" s="43">
        <v>95.8</v>
      </c>
      <c r="Q124" s="43">
        <v>96</v>
      </c>
      <c r="R124" s="47">
        <f>ROUND(A124*0.75*746/(A124*0.75*746+(AC124*1.1))*100,1)</f>
        <v>95.6</v>
      </c>
      <c r="S124" s="43">
        <v>95.3</v>
      </c>
      <c r="T124" s="43">
        <v>86.7</v>
      </c>
      <c r="U124" s="47">
        <v>84.9</v>
      </c>
      <c r="V124" s="47">
        <v>79.5</v>
      </c>
      <c r="W124" s="43">
        <v>14</v>
      </c>
      <c r="X124" s="43">
        <v>7</v>
      </c>
      <c r="Y124" s="43"/>
      <c r="Z124" s="43"/>
      <c r="AA124" s="43"/>
      <c r="AB124" s="43">
        <f t="shared" si="0"/>
        <v>11787.110187110138</v>
      </c>
      <c r="AC124" s="43">
        <f>(A124*746*0.75-(Q124/100*(A124*0.75*746)))/(Q124/100)</f>
        <v>9325</v>
      </c>
      <c r="AD124" s="43"/>
      <c r="AE124" s="43"/>
      <c r="AF124" s="43"/>
      <c r="AG124" s="43">
        <v>4600</v>
      </c>
      <c r="AH124" s="44">
        <f>AG124*$BB$1</f>
        <v>5980</v>
      </c>
      <c r="AI124" s="43">
        <v>1546</v>
      </c>
      <c r="AJ124" s="43"/>
      <c r="AK124" s="43">
        <v>3909</v>
      </c>
      <c r="AL124" s="43" t="s">
        <v>108</v>
      </c>
      <c r="AM124" s="43">
        <v>78</v>
      </c>
      <c r="AN124" s="43">
        <v>103</v>
      </c>
      <c r="AO124" s="43" t="s">
        <v>125</v>
      </c>
      <c r="AP124" s="1" t="s">
        <v>110</v>
      </c>
      <c r="AQ124" s="1" t="s">
        <v>110</v>
      </c>
      <c r="AW124" s="43"/>
      <c r="BA124" s="49"/>
    </row>
    <row r="125" spans="1:53" ht="10.5" customHeight="1">
      <c r="A125" s="54"/>
      <c r="B125" s="54"/>
      <c r="C125" s="51"/>
      <c r="D125" s="51"/>
      <c r="E125" s="54"/>
      <c r="F125" s="54"/>
      <c r="G125" s="54"/>
      <c r="H125" s="53"/>
      <c r="I125" s="53"/>
      <c r="J125" s="54"/>
      <c r="K125" s="54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43"/>
      <c r="AB125" s="43"/>
      <c r="AC125" s="43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W125" s="54"/>
      <c r="BA125" s="39"/>
    </row>
    <row r="126" spans="1:256" ht="12.75" customHeight="1">
      <c r="A126" s="54" t="s">
        <v>169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</row>
    <row r="127" spans="1:27" ht="12.75" customHeight="1">
      <c r="A127" t="s">
        <v>170</v>
      </c>
      <c r="AA127" s="55"/>
    </row>
    <row r="128" ht="12.75">
      <c r="A128" t="s">
        <v>171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0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9.7109375" style="0" bestFit="1" customWidth="1"/>
    <col min="2" max="2" width="9.7109375" style="0" customWidth="1"/>
    <col min="3" max="3" width="10.140625" style="0" customWidth="1"/>
    <col min="5" max="5" width="13.421875" style="0" bestFit="1" customWidth="1"/>
    <col min="6" max="6" width="9.28125" style="0" bestFit="1" customWidth="1"/>
    <col min="7" max="9" width="7.28125" style="0" bestFit="1" customWidth="1"/>
    <col min="13" max="13" width="13.421875" style="0" bestFit="1" customWidth="1"/>
    <col min="21" max="21" width="13.421875" style="0" bestFit="1" customWidth="1"/>
    <col min="27" max="27" width="0" style="0" hidden="1" customWidth="1"/>
    <col min="29" max="30" width="0" style="0" hidden="1" customWidth="1"/>
    <col min="32" max="33" width="9.140625" style="0" hidden="1" customWidth="1"/>
    <col min="35" max="36" width="0" style="0" hidden="1" customWidth="1"/>
    <col min="38" max="38" width="9.140625" style="0" hidden="1" customWidth="1"/>
  </cols>
  <sheetData>
    <row r="1" spans="1:12" ht="15.75">
      <c r="A1" s="126" t="s">
        <v>191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3.5" thickBot="1"/>
    <row r="3" spans="1:12" ht="13.5" thickBot="1">
      <c r="A3" s="11" t="s">
        <v>19</v>
      </c>
      <c r="B3" s="23">
        <v>0</v>
      </c>
      <c r="C3" s="23">
        <v>0.1</v>
      </c>
      <c r="D3" s="23">
        <v>0.2</v>
      </c>
      <c r="E3" s="23">
        <v>0.3</v>
      </c>
      <c r="F3" s="23">
        <v>0.4</v>
      </c>
      <c r="G3" s="23">
        <v>0.5</v>
      </c>
      <c r="H3" s="23">
        <v>0.6</v>
      </c>
      <c r="I3" s="23">
        <v>0.7</v>
      </c>
      <c r="J3" s="23">
        <v>0.8</v>
      </c>
      <c r="K3" s="23">
        <v>0.9</v>
      </c>
      <c r="L3" s="24">
        <v>1</v>
      </c>
    </row>
    <row r="4" spans="1:12" ht="12.75">
      <c r="A4" s="1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7" t="s">
        <v>17</v>
      </c>
      <c r="B5" s="26">
        <v>0.332</v>
      </c>
      <c r="C5" s="26">
        <v>0.44</v>
      </c>
      <c r="D5" s="26">
        <v>0.54</v>
      </c>
      <c r="E5" s="26">
        <v>0.63</v>
      </c>
      <c r="F5" s="26">
        <v>0.715</v>
      </c>
      <c r="G5" s="26">
        <v>0.795</v>
      </c>
      <c r="H5" s="26">
        <v>0.863</v>
      </c>
      <c r="I5" s="26">
        <v>0.91</v>
      </c>
      <c r="J5" s="26">
        <v>0.95</v>
      </c>
      <c r="K5" s="26">
        <v>0.98</v>
      </c>
      <c r="L5" s="26">
        <v>1</v>
      </c>
    </row>
    <row r="6" spans="1:12" ht="12.75">
      <c r="A6" s="68" t="s">
        <v>18</v>
      </c>
      <c r="B6" s="69">
        <v>0.35</v>
      </c>
      <c r="C6" s="69">
        <v>0.37</v>
      </c>
      <c r="D6" s="69">
        <v>0.4</v>
      </c>
      <c r="E6" s="69">
        <v>0.44</v>
      </c>
      <c r="F6" s="69">
        <v>0.48</v>
      </c>
      <c r="G6" s="69">
        <v>0.531</v>
      </c>
      <c r="H6" s="69">
        <v>0.6</v>
      </c>
      <c r="I6" s="69">
        <v>0.668</v>
      </c>
      <c r="J6" s="69">
        <v>0.764</v>
      </c>
      <c r="K6" s="69">
        <v>0.89</v>
      </c>
      <c r="L6" s="69">
        <v>1</v>
      </c>
    </row>
    <row r="7" spans="1:12" ht="12.75">
      <c r="A7" s="15" t="s">
        <v>16</v>
      </c>
      <c r="B7" s="125">
        <f aca="true" t="shared" si="0" ref="B7:L7">B3^3</f>
        <v>0</v>
      </c>
      <c r="C7" s="125">
        <f t="shared" si="0"/>
        <v>0.0010000000000000002</v>
      </c>
      <c r="D7" s="125">
        <f t="shared" si="0"/>
        <v>0.008000000000000002</v>
      </c>
      <c r="E7" s="125">
        <f t="shared" si="0"/>
        <v>0.027</v>
      </c>
      <c r="F7" s="125">
        <f t="shared" si="0"/>
        <v>0.06400000000000002</v>
      </c>
      <c r="G7" s="125">
        <f t="shared" si="0"/>
        <v>0.125</v>
      </c>
      <c r="H7" s="125">
        <f t="shared" si="0"/>
        <v>0.216</v>
      </c>
      <c r="I7" s="125">
        <f t="shared" si="0"/>
        <v>0.3429999999999999</v>
      </c>
      <c r="J7" s="125">
        <f t="shared" si="0"/>
        <v>0.5120000000000001</v>
      </c>
      <c r="K7" s="125">
        <f t="shared" si="0"/>
        <v>0.7290000000000001</v>
      </c>
      <c r="L7" s="125">
        <f t="shared" si="0"/>
        <v>1</v>
      </c>
    </row>
    <row r="8" ht="6" customHeight="1"/>
    <row r="9" spans="1:12" ht="12.75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26" ht="12.75">
      <c r="A10" s="14" t="s">
        <v>17</v>
      </c>
      <c r="B10" s="27">
        <v>1.1</v>
      </c>
      <c r="C10" s="27">
        <v>1.15</v>
      </c>
      <c r="D10" s="27">
        <v>1.2</v>
      </c>
      <c r="E10" s="27">
        <v>1.35</v>
      </c>
      <c r="F10" s="27">
        <v>1.3</v>
      </c>
      <c r="G10" s="27">
        <v>1.28</v>
      </c>
      <c r="H10" s="27">
        <v>1.25</v>
      </c>
      <c r="I10" s="27">
        <v>1.18</v>
      </c>
      <c r="J10" s="27">
        <v>1.1</v>
      </c>
      <c r="K10" s="27">
        <v>1.05</v>
      </c>
      <c r="L10" s="27">
        <v>1</v>
      </c>
      <c r="U10" s="182">
        <v>1</v>
      </c>
      <c r="V10" s="182">
        <v>0.75</v>
      </c>
      <c r="W10" s="182">
        <v>0.5</v>
      </c>
      <c r="X10" s="182">
        <v>0.25</v>
      </c>
      <c r="Y10" s="182">
        <v>0.05</v>
      </c>
      <c r="Z10" s="182">
        <v>0.01</v>
      </c>
    </row>
    <row r="11" spans="1:26" ht="12.75">
      <c r="A11" s="14" t="s">
        <v>18</v>
      </c>
      <c r="B11" s="27">
        <f aca="true" t="shared" si="1" ref="B11:L11">B3^2</f>
        <v>0</v>
      </c>
      <c r="C11" s="27">
        <f t="shared" si="1"/>
        <v>0.010000000000000002</v>
      </c>
      <c r="D11" s="27">
        <f t="shared" si="1"/>
        <v>0.04000000000000001</v>
      </c>
      <c r="E11" s="27">
        <f t="shared" si="1"/>
        <v>0.09</v>
      </c>
      <c r="F11" s="27">
        <f t="shared" si="1"/>
        <v>0.16000000000000003</v>
      </c>
      <c r="G11" s="27">
        <f t="shared" si="1"/>
        <v>0.25</v>
      </c>
      <c r="H11" s="27">
        <f t="shared" si="1"/>
        <v>0.36</v>
      </c>
      <c r="I11" s="27">
        <f t="shared" si="1"/>
        <v>0.48999999999999994</v>
      </c>
      <c r="J11" s="27">
        <f t="shared" si="1"/>
        <v>0.6400000000000001</v>
      </c>
      <c r="K11" s="27">
        <f t="shared" si="1"/>
        <v>0.81</v>
      </c>
      <c r="L11" s="27">
        <f t="shared" si="1"/>
        <v>1</v>
      </c>
      <c r="U11" s="183">
        <v>0.977</v>
      </c>
      <c r="V11" s="183">
        <v>0.971</v>
      </c>
      <c r="W11" s="183">
        <v>0.962</v>
      </c>
      <c r="X11" s="183">
        <v>0.94</v>
      </c>
      <c r="Y11" s="183">
        <v>0.84</v>
      </c>
      <c r="Z11" s="183">
        <v>0.6</v>
      </c>
    </row>
    <row r="12" spans="1:12" ht="12.75">
      <c r="A12" s="15" t="s">
        <v>16</v>
      </c>
      <c r="B12" s="27">
        <f aca="true" t="shared" si="2" ref="B12:L12">B3^2</f>
        <v>0</v>
      </c>
      <c r="C12" s="27">
        <f t="shared" si="2"/>
        <v>0.010000000000000002</v>
      </c>
      <c r="D12" s="27">
        <f t="shared" si="2"/>
        <v>0.04000000000000001</v>
      </c>
      <c r="E12" s="27">
        <f t="shared" si="2"/>
        <v>0.09</v>
      </c>
      <c r="F12" s="27">
        <f t="shared" si="2"/>
        <v>0.16000000000000003</v>
      </c>
      <c r="G12" s="27">
        <f t="shared" si="2"/>
        <v>0.25</v>
      </c>
      <c r="H12" s="27">
        <f t="shared" si="2"/>
        <v>0.36</v>
      </c>
      <c r="I12" s="27">
        <f t="shared" si="2"/>
        <v>0.48999999999999994</v>
      </c>
      <c r="J12" s="27">
        <f t="shared" si="2"/>
        <v>0.6400000000000001</v>
      </c>
      <c r="K12" s="27">
        <f t="shared" si="2"/>
        <v>0.81</v>
      </c>
      <c r="L12" s="27">
        <f t="shared" si="2"/>
        <v>1</v>
      </c>
    </row>
    <row r="13" spans="5:22" ht="12.75">
      <c r="E13" s="94" t="s">
        <v>22</v>
      </c>
      <c r="F13" s="99"/>
      <c r="K13" s="71"/>
      <c r="L13" s="71"/>
      <c r="M13" s="101" t="s">
        <v>24</v>
      </c>
      <c r="N13" s="99"/>
      <c r="S13" s="71"/>
      <c r="U13" s="109"/>
      <c r="V13" s="110"/>
    </row>
    <row r="14" spans="3:30" ht="12.75">
      <c r="C14" s="22" t="s">
        <v>183</v>
      </c>
      <c r="D14" s="22"/>
      <c r="E14" s="95" t="s">
        <v>23</v>
      </c>
      <c r="F14" s="95" t="s">
        <v>182</v>
      </c>
      <c r="G14" s="22"/>
      <c r="H14" s="22"/>
      <c r="I14" s="22"/>
      <c r="J14" s="22"/>
      <c r="K14" s="22"/>
      <c r="L14" s="22"/>
      <c r="M14" s="102" t="s">
        <v>25</v>
      </c>
      <c r="N14" s="102" t="s">
        <v>182</v>
      </c>
      <c r="O14" s="70"/>
      <c r="P14" s="70"/>
      <c r="Q14" s="70"/>
      <c r="R14" s="70"/>
      <c r="S14" s="70"/>
      <c r="U14" s="111" t="s">
        <v>16</v>
      </c>
      <c r="V14" s="111" t="s">
        <v>182</v>
      </c>
      <c r="W14" s="20"/>
      <c r="X14" s="20"/>
      <c r="Y14" s="20"/>
      <c r="Z14" s="20"/>
      <c r="AA14" s="20"/>
      <c r="AB14" s="15"/>
      <c r="AC14" s="15"/>
      <c r="AD14" s="15"/>
    </row>
    <row r="15" spans="3:42" ht="12.75">
      <c r="C15" s="22" t="s">
        <v>6</v>
      </c>
      <c r="D15" s="22"/>
      <c r="E15" s="96" t="s">
        <v>190</v>
      </c>
      <c r="F15" s="95" t="s">
        <v>45</v>
      </c>
      <c r="G15" s="76" t="s">
        <v>181</v>
      </c>
      <c r="H15" s="76"/>
      <c r="I15" s="76"/>
      <c r="J15" s="76"/>
      <c r="K15" s="77"/>
      <c r="L15" s="83"/>
      <c r="M15" s="102" t="s">
        <v>190</v>
      </c>
      <c r="N15" s="102" t="s">
        <v>45</v>
      </c>
      <c r="O15" s="87" t="s">
        <v>181</v>
      </c>
      <c r="P15" s="87"/>
      <c r="Q15" s="87"/>
      <c r="R15" s="87"/>
      <c r="S15" s="88"/>
      <c r="U15" s="112" t="s">
        <v>190</v>
      </c>
      <c r="V15" s="112" t="s">
        <v>45</v>
      </c>
      <c r="W15" s="113" t="s">
        <v>181</v>
      </c>
      <c r="X15" s="113"/>
      <c r="Y15" s="113"/>
      <c r="Z15" s="113"/>
      <c r="AA15" s="113"/>
      <c r="AB15" s="132" t="s">
        <v>197</v>
      </c>
      <c r="AC15" s="113"/>
      <c r="AD15" s="11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2" t="s">
        <v>198</v>
      </c>
      <c r="AP15" s="114"/>
    </row>
    <row r="16" spans="3:42" ht="12.75">
      <c r="C16" s="128" t="s">
        <v>185</v>
      </c>
      <c r="D16" s="22"/>
      <c r="E16" s="97" t="s">
        <v>189</v>
      </c>
      <c r="F16" s="97" t="s">
        <v>189</v>
      </c>
      <c r="G16" s="98" t="s">
        <v>179</v>
      </c>
      <c r="H16" s="79" t="s">
        <v>180</v>
      </c>
      <c r="I16" s="79" t="s">
        <v>182</v>
      </c>
      <c r="J16" s="79" t="s">
        <v>184</v>
      </c>
      <c r="K16" s="79" t="s">
        <v>185</v>
      </c>
      <c r="L16" s="81"/>
      <c r="M16" s="103" t="s">
        <v>189</v>
      </c>
      <c r="N16" s="103" t="s">
        <v>189</v>
      </c>
      <c r="O16" s="100" t="s">
        <v>179</v>
      </c>
      <c r="P16" s="89" t="s">
        <v>180</v>
      </c>
      <c r="Q16" s="89" t="s">
        <v>182</v>
      </c>
      <c r="R16" s="89" t="s">
        <v>184</v>
      </c>
      <c r="S16" s="89" t="s">
        <v>185</v>
      </c>
      <c r="U16" s="115" t="s">
        <v>189</v>
      </c>
      <c r="V16" s="115" t="s">
        <v>189</v>
      </c>
      <c r="W16" s="116" t="s">
        <v>179</v>
      </c>
      <c r="X16" s="117" t="s">
        <v>180</v>
      </c>
      <c r="Y16" s="117" t="s">
        <v>182</v>
      </c>
      <c r="Z16" s="117" t="s">
        <v>184</v>
      </c>
      <c r="AA16" s="185" t="s">
        <v>179</v>
      </c>
      <c r="AB16" s="185" t="s">
        <v>179</v>
      </c>
      <c r="AC16" s="185" t="s">
        <v>194</v>
      </c>
      <c r="AD16" s="185"/>
      <c r="AE16" s="185" t="s">
        <v>194</v>
      </c>
      <c r="AF16" s="185" t="s">
        <v>195</v>
      </c>
      <c r="AG16" s="185"/>
      <c r="AH16" s="185" t="s">
        <v>195</v>
      </c>
      <c r="AI16" s="185" t="s">
        <v>214</v>
      </c>
      <c r="AJ16" s="185"/>
      <c r="AK16" s="185" t="s">
        <v>214</v>
      </c>
      <c r="AL16" s="185" t="s">
        <v>196</v>
      </c>
      <c r="AM16" s="185" t="s">
        <v>196</v>
      </c>
      <c r="AN16" s="117" t="s">
        <v>182</v>
      </c>
      <c r="AO16" s="117" t="s">
        <v>184</v>
      </c>
      <c r="AP16" s="117" t="s">
        <v>185</v>
      </c>
    </row>
    <row r="17" spans="1:42" ht="12.75">
      <c r="A17" s="6">
        <f>'Data Entry'!H7</f>
        <v>0</v>
      </c>
      <c r="B17" s="127">
        <f>'Data Entry'!I7</f>
        <v>1</v>
      </c>
      <c r="C17" s="129">
        <f aca="true" t="shared" si="3" ref="C17:C27">A17*$E$35</f>
        <v>0</v>
      </c>
      <c r="D17" s="63"/>
      <c r="E17" s="75">
        <f>(B17-0.9)*(0.2)+0.98</f>
        <v>1</v>
      </c>
      <c r="F17" s="78">
        <f>E17*'Data Entry'!$C$9/'Data Entry'!$C$5</f>
        <v>1</v>
      </c>
      <c r="G17" s="67">
        <f>IF((F17&lt;0.75),0,('Data Entry'!$C$8)+((1-(F17))/(1-0.75)*('Data Entry'!$D$8-'Data Entry'!$C$8)))</f>
        <v>0.92</v>
      </c>
      <c r="H17" s="67">
        <f>IF((F17&lt;0.7499),('Data Entry'!$D$8)+((0.75-(F17))/(0.75-0.5)*('Data Entry'!$E$8-'Data Entry'!$D$8)),0)</f>
        <v>0</v>
      </c>
      <c r="I17" s="67">
        <f aca="true" t="shared" si="4" ref="I17:I27">IF(F17&gt;0.74999999999,G17,H17)</f>
        <v>0.92</v>
      </c>
      <c r="J17" s="80">
        <f>'Data Entry'!$C$5*Calculations!F17/I17*0.746</f>
        <v>405.4347826086957</v>
      </c>
      <c r="K17" s="80">
        <f aca="true" t="shared" si="5" ref="K17:K27">J17*A17</f>
        <v>0</v>
      </c>
      <c r="L17" s="74"/>
      <c r="M17" s="93">
        <f>(B17-0.9)*(1.1)+0.89</f>
        <v>1</v>
      </c>
      <c r="N17" s="90">
        <f>M17*'Data Entry'!$C$9/'Data Entry'!$C$5</f>
        <v>1</v>
      </c>
      <c r="O17" s="91">
        <f>IF((N17&lt;0.75),0,('Data Entry'!$C$8)+((1-(N17))/(1-0.75)*('Data Entry'!$D$8-'Data Entry'!$C$8)))</f>
        <v>0.92</v>
      </c>
      <c r="P17" s="91">
        <f>IF((N17&lt;0.7499),('Data Entry'!$D$8)+((0.75-(N17))/(0.75-0.5)*('Data Entry'!$E$8-'Data Entry'!$D$8)),0)</f>
        <v>0</v>
      </c>
      <c r="Q17" s="91">
        <f aca="true" t="shared" si="6" ref="Q17:Q27">IF(N17&gt;0.74999999999,O17,P17)</f>
        <v>0.92</v>
      </c>
      <c r="R17" s="92">
        <f>'Data Entry'!$C$5*Calculations!N17/Q17*0.746</f>
        <v>405.4347826086957</v>
      </c>
      <c r="S17" s="92">
        <f aca="true" t="shared" si="7" ref="S17:S27">R17*A17</f>
        <v>0</v>
      </c>
      <c r="U17" s="118">
        <f aca="true" t="shared" si="8" ref="U17:U27">B17^3</f>
        <v>1</v>
      </c>
      <c r="V17" s="119">
        <f>U17*'Data Entry'!$C$9/'Data Entry'!$C$5</f>
        <v>1</v>
      </c>
      <c r="W17" s="120">
        <f>IF((V17&lt;0.75),0,('Data Entry'!$C$8)+((1-(V17))/(1-0.75)*('Data Entry'!$D$8-'Data Entry'!$C$8)))</f>
        <v>0.92</v>
      </c>
      <c r="X17" s="120">
        <f>IF((V17&lt;0.7499),('Data Entry'!$D$8)+((0.75-(V17))/(0.75-0.5)*('Data Entry'!$E$8-'Data Entry'!$D$8)),0)</f>
        <v>0</v>
      </c>
      <c r="Y17" s="120">
        <f aca="true" t="shared" si="9" ref="Y17:Y27">IF(V17&gt;0.74999999999,W17,X17)</f>
        <v>0.92</v>
      </c>
      <c r="Z17" s="121">
        <f>'Data Entry'!$C$5*Calculations!V17/Y17*0.746</f>
        <v>405.4347826086957</v>
      </c>
      <c r="AA17" s="184">
        <f>IF(V17&gt;0.75,1,0)</f>
        <v>1</v>
      </c>
      <c r="AB17" s="120">
        <f aca="true" t="shared" si="10" ref="AB17:AB27">IF((AA17&gt;0),($A$38)+((1-(V17))/(1-0.75)*($B$38-$A$38)),0)</f>
        <v>0.977</v>
      </c>
      <c r="AC17" s="184">
        <f aca="true" t="shared" si="11" ref="AC17:AC27">IF(V17&gt;0.5,1,0)</f>
        <v>1</v>
      </c>
      <c r="AD17" s="184">
        <f aca="true" t="shared" si="12" ref="AD17:AD27">IF(V17&gt;0.75,0,1)</f>
        <v>0</v>
      </c>
      <c r="AE17" s="120">
        <f aca="true" t="shared" si="13" ref="AE17:AE27">IF((AC17&gt;0),(AC17*AD17)*(($B$38)+((0.75-(V17))/(1-0.75)*($C$38-$B$38))),0)</f>
        <v>0</v>
      </c>
      <c r="AF17" s="184">
        <f>IF(V17&gt;0.25,1,0)</f>
        <v>1</v>
      </c>
      <c r="AG17" s="184">
        <f>IF(V17&gt;0.5,0,1)</f>
        <v>0</v>
      </c>
      <c r="AH17" s="120">
        <f aca="true" t="shared" si="14" ref="AH17:AH27">IF((V17&gt;0),(AF17*AG17)*(($C$38)+((0.5-(V17))/(1-0.75)*($D$38-$C$38))),0)</f>
        <v>0</v>
      </c>
      <c r="AI17" s="184">
        <f>IF(V17&gt;0.05,1,0)</f>
        <v>1</v>
      </c>
      <c r="AJ17" s="184">
        <f aca="true" t="shared" si="15" ref="AJ17:AJ27">IF(V17&gt;0.25,0,1)</f>
        <v>0</v>
      </c>
      <c r="AK17" s="120">
        <f aca="true" t="shared" si="16" ref="AK17:AK27">IF((V17&gt;0),(AI17*AJ17)*(($D$38)+((0.05-(V17))/(1-0.75)*($E$38-$D$38))),0)</f>
        <v>0</v>
      </c>
      <c r="AL17" s="184">
        <f>IF(V17&gt;0.05,0,1)</f>
        <v>0</v>
      </c>
      <c r="AM17" s="120">
        <f>IF((X17&gt;0),(AL17)*(($E$38)+((0.01-(V17))/(1-0.75)*($F$38-$E$38))),0)</f>
        <v>0</v>
      </c>
      <c r="AN17" s="120">
        <f aca="true" t="shared" si="17" ref="AN17:AN27">AB17+AE17+AH17+AK17+AM17</f>
        <v>0.977</v>
      </c>
      <c r="AO17" s="135">
        <f aca="true" t="shared" si="18" ref="AO17:AO27">Z17/AN17</f>
        <v>414.97930666191985</v>
      </c>
      <c r="AP17" s="135">
        <f aca="true" t="shared" si="19" ref="AP17:AP27">A17*AO17</f>
        <v>0</v>
      </c>
    </row>
    <row r="18" spans="1:42" ht="12.75">
      <c r="A18" s="6">
        <f>'Data Entry'!H8</f>
        <v>2</v>
      </c>
      <c r="B18" s="127">
        <f>'Data Entry'!I8</f>
        <v>0.9</v>
      </c>
      <c r="C18" s="129">
        <f t="shared" si="3"/>
        <v>810.8695652173913</v>
      </c>
      <c r="D18" s="63"/>
      <c r="E18" s="75">
        <f>(B18-0.9)*(0.2)+0.98</f>
        <v>0.98</v>
      </c>
      <c r="F18" s="78">
        <f>E18*'Data Entry'!$C$9/'Data Entry'!$C$5</f>
        <v>0.98</v>
      </c>
      <c r="G18" s="67">
        <f>IF((F18&lt;0.75),0,('Data Entry'!$C$8)+((1-(F18))/(1-0.75)*('Data Entry'!$D$8-'Data Entry'!$C$8)))</f>
        <v>0.9192</v>
      </c>
      <c r="H18" s="67">
        <f>IF((F18&lt;0.7499),('Data Entry'!$D$8)+((0.75-(F18))/(0.75-0.5)*('Data Entry'!$E$8-'Data Entry'!$D$8)),0)</f>
        <v>0</v>
      </c>
      <c r="I18" s="67">
        <f t="shared" si="4"/>
        <v>0.9192</v>
      </c>
      <c r="J18" s="80">
        <f>'Data Entry'!$C$5*Calculations!F18/I18*0.746</f>
        <v>397.6718885987815</v>
      </c>
      <c r="K18" s="80">
        <f t="shared" si="5"/>
        <v>795.343777197563</v>
      </c>
      <c r="L18" s="74"/>
      <c r="M18" s="93">
        <f>(B18-0.9)*(1.1)+0.89</f>
        <v>0.89</v>
      </c>
      <c r="N18" s="90">
        <f>M18*'Data Entry'!$C$9/'Data Entry'!$C$5</f>
        <v>0.89</v>
      </c>
      <c r="O18" s="91">
        <f>IF((N18&lt;0.75),0,('Data Entry'!$C$8)+((1-(N18))/(1-0.75)*('Data Entry'!$D$8-'Data Entry'!$C$8)))</f>
        <v>0.9156000000000001</v>
      </c>
      <c r="P18" s="91">
        <f>IF((N18&lt;0.7499),('Data Entry'!$D$8)+((0.75-(N18))/(0.75-0.5)*('Data Entry'!$E$8-'Data Entry'!$D$8)),0)</f>
        <v>0</v>
      </c>
      <c r="Q18" s="91">
        <f t="shared" si="6"/>
        <v>0.9156000000000001</v>
      </c>
      <c r="R18" s="92">
        <f>'Data Entry'!$C$5*Calculations!N18/Q18*0.746</f>
        <v>362.570991699432</v>
      </c>
      <c r="S18" s="92">
        <f t="shared" si="7"/>
        <v>725.141983398864</v>
      </c>
      <c r="U18" s="118">
        <f t="shared" si="8"/>
        <v>0.7290000000000001</v>
      </c>
      <c r="V18" s="119">
        <f>U18*'Data Entry'!$C$9/'Data Entry'!$C$5</f>
        <v>0.7290000000000001</v>
      </c>
      <c r="W18" s="120">
        <f>IF((V18&lt;0.75),0,('Data Entry'!$C$8)+((1-(V18))/(1-0.75)*('Data Entry'!$D$8-'Data Entry'!$C$8)))</f>
        <v>0</v>
      </c>
      <c r="X18" s="120">
        <f>IF((V18&lt;0.7499),('Data Entry'!$D$8)+((0.75-(V18))/(0.75-0.5)*('Data Entry'!$E$8-'Data Entry'!$D$8)),0)</f>
        <v>0.9091600000000001</v>
      </c>
      <c r="Y18" s="120">
        <f t="shared" si="9"/>
        <v>0.9091600000000001</v>
      </c>
      <c r="Z18" s="121">
        <f>'Data Entry'!$C$5*Calculations!V18/Y18*0.746</f>
        <v>299.08596946632053</v>
      </c>
      <c r="AA18" s="184">
        <f aca="true" t="shared" si="20" ref="AA18:AA27">IF(V18&gt;0.75,1,0)</f>
        <v>0</v>
      </c>
      <c r="AB18" s="120">
        <f t="shared" si="10"/>
        <v>0</v>
      </c>
      <c r="AC18" s="184">
        <f t="shared" si="11"/>
        <v>1</v>
      </c>
      <c r="AD18" s="184">
        <f t="shared" si="12"/>
        <v>1</v>
      </c>
      <c r="AE18" s="120">
        <f t="shared" si="13"/>
        <v>0.970244</v>
      </c>
      <c r="AF18" s="184">
        <f aca="true" t="shared" si="21" ref="AF18:AF27">IF(V18&gt;0.25,1,0)</f>
        <v>1</v>
      </c>
      <c r="AG18" s="184">
        <f>IF(V18&gt;0.5,0,1)</f>
        <v>0</v>
      </c>
      <c r="AH18" s="120">
        <f t="shared" si="14"/>
        <v>0</v>
      </c>
      <c r="AI18" s="184">
        <f aca="true" t="shared" si="22" ref="AI18:AI27">IF(V18&gt;0.05,1,0)</f>
        <v>1</v>
      </c>
      <c r="AJ18" s="184">
        <f t="shared" si="15"/>
        <v>0</v>
      </c>
      <c r="AK18" s="120">
        <f t="shared" si="16"/>
        <v>0</v>
      </c>
      <c r="AL18" s="184">
        <f aca="true" t="shared" si="23" ref="AL18:AL27">IF(V18&gt;0.05,0,1)</f>
        <v>0</v>
      </c>
      <c r="AM18" s="120">
        <f>IF((X18&gt;0),(AL18)*(($E$38)+((0.01-(V18))/(1-0.75)*($F$38-$E$38))),0)</f>
        <v>0</v>
      </c>
      <c r="AN18" s="120">
        <f t="shared" si="17"/>
        <v>0.970244</v>
      </c>
      <c r="AO18" s="135">
        <f t="shared" si="18"/>
        <v>308.2585096803696</v>
      </c>
      <c r="AP18" s="135">
        <f t="shared" si="19"/>
        <v>616.5170193607393</v>
      </c>
    </row>
    <row r="19" spans="1:42" ht="12.75">
      <c r="A19" s="6">
        <f>'Data Entry'!H9</f>
        <v>6</v>
      </c>
      <c r="B19" s="127">
        <f>'Data Entry'!I9</f>
        <v>0.8</v>
      </c>
      <c r="C19" s="129">
        <f t="shared" si="3"/>
        <v>2432.608695652174</v>
      </c>
      <c r="D19" s="63"/>
      <c r="E19" s="75">
        <f>(B19-0.8)*(0.3)+0.95</f>
        <v>0.95</v>
      </c>
      <c r="F19" s="78">
        <f>E19*'Data Entry'!$C$9/'Data Entry'!$C$5</f>
        <v>0.95</v>
      </c>
      <c r="G19" s="67">
        <f>IF((F19&lt;0.75),0,('Data Entry'!$C$8)+((1-(F19))/(1-0.75)*('Data Entry'!$D$8-'Data Entry'!$C$8)))</f>
        <v>0.918</v>
      </c>
      <c r="H19" s="67">
        <f>IF((F19&lt;0.7499),('Data Entry'!$D$8)+((0.75-(F19))/(0.75-0.5)*('Data Entry'!$E$8-'Data Entry'!$D$8)),0)</f>
        <v>0</v>
      </c>
      <c r="I19" s="67">
        <f t="shared" si="4"/>
        <v>0.918</v>
      </c>
      <c r="J19" s="80">
        <f>'Data Entry'!$C$5*Calculations!F19/I19*0.746</f>
        <v>386.00217864923746</v>
      </c>
      <c r="K19" s="80">
        <f t="shared" si="5"/>
        <v>2316.0130718954247</v>
      </c>
      <c r="L19" s="74"/>
      <c r="M19" s="93">
        <f>(B19-0.8)*(1.26)+0.764</f>
        <v>0.764</v>
      </c>
      <c r="N19" s="90">
        <f>M19*'Data Entry'!$C$9/'Data Entry'!$C$5</f>
        <v>0.764</v>
      </c>
      <c r="O19" s="91">
        <f>IF((N19&lt;0.75),0,('Data Entry'!$C$8)+((1-(N19))/(1-0.75)*('Data Entry'!$D$8-'Data Entry'!$C$8)))</f>
        <v>0.91056</v>
      </c>
      <c r="P19" s="91">
        <f>IF((N19&lt;0.7499),('Data Entry'!$D$8)+((0.75-(N19))/(0.75-0.5)*('Data Entry'!$E$8-'Data Entry'!$D$8)),0)</f>
        <v>0</v>
      </c>
      <c r="Q19" s="91">
        <f t="shared" si="6"/>
        <v>0.91056</v>
      </c>
      <c r="R19" s="92">
        <f>'Data Entry'!$C$5*Calculations!N19/Q19*0.746</f>
        <v>312.963451063082</v>
      </c>
      <c r="S19" s="92">
        <f t="shared" si="7"/>
        <v>1877.7807063784921</v>
      </c>
      <c r="U19" s="118">
        <f t="shared" si="8"/>
        <v>0.5120000000000001</v>
      </c>
      <c r="V19" s="119">
        <f>U19*'Data Entry'!$C$9/'Data Entry'!$C$5</f>
        <v>0.5120000000000001</v>
      </c>
      <c r="W19" s="120">
        <f>IF((V19&lt;0.75),0,('Data Entry'!$C$8)+((1-(V19))/(1-0.75)*('Data Entry'!$D$8-'Data Entry'!$C$8)))</f>
        <v>0</v>
      </c>
      <c r="X19" s="120">
        <f>IF((V19&lt;0.7499),('Data Entry'!$D$8)+((0.75-(V19))/(0.75-0.5)*('Data Entry'!$E$8-'Data Entry'!$D$8)),0)</f>
        <v>0.9004800000000001</v>
      </c>
      <c r="Y19" s="120">
        <f t="shared" si="9"/>
        <v>0.9004800000000001</v>
      </c>
      <c r="Z19" s="121">
        <f>'Data Entry'!$C$5*Calculations!V19/Y19*0.746</f>
        <v>212.08244491826585</v>
      </c>
      <c r="AA19" s="184">
        <f t="shared" si="20"/>
        <v>0</v>
      </c>
      <c r="AB19" s="120">
        <f t="shared" si="10"/>
        <v>0</v>
      </c>
      <c r="AC19" s="184">
        <f t="shared" si="11"/>
        <v>1</v>
      </c>
      <c r="AD19" s="184">
        <f t="shared" si="12"/>
        <v>1</v>
      </c>
      <c r="AE19" s="120">
        <f t="shared" si="13"/>
        <v>0.962432</v>
      </c>
      <c r="AF19" s="184">
        <f t="shared" si="21"/>
        <v>1</v>
      </c>
      <c r="AG19" s="184">
        <f aca="true" t="shared" si="24" ref="AG19:AG27">IF(V19&gt;0.5,0,1)</f>
        <v>0</v>
      </c>
      <c r="AH19" s="120">
        <f t="shared" si="14"/>
        <v>0</v>
      </c>
      <c r="AI19" s="184">
        <f t="shared" si="22"/>
        <v>1</v>
      </c>
      <c r="AJ19" s="184">
        <f t="shared" si="15"/>
        <v>0</v>
      </c>
      <c r="AK19" s="120">
        <f t="shared" si="16"/>
        <v>0</v>
      </c>
      <c r="AL19" s="184">
        <f t="shared" si="23"/>
        <v>0</v>
      </c>
      <c r="AM19" s="120">
        <f aca="true" t="shared" si="25" ref="AM19:AM27">IF((X19&gt;0),(AL19)*(($E$38)+((0.01-(V19))/(1-0.75)*($F$38-$E$38))),0)</f>
        <v>0</v>
      </c>
      <c r="AN19" s="120">
        <f t="shared" si="17"/>
        <v>0.962432</v>
      </c>
      <c r="AO19" s="135">
        <f t="shared" si="18"/>
        <v>220.36096567681236</v>
      </c>
      <c r="AP19" s="135">
        <f t="shared" si="19"/>
        <v>1322.165794060874</v>
      </c>
    </row>
    <row r="20" spans="1:42" ht="12.75">
      <c r="A20" s="6">
        <f>'Data Entry'!H10</f>
        <v>7</v>
      </c>
      <c r="B20" s="127">
        <f>'Data Entry'!I10</f>
        <v>0.7</v>
      </c>
      <c r="C20" s="129">
        <f t="shared" si="3"/>
        <v>2838.0434782608695</v>
      </c>
      <c r="D20" s="63"/>
      <c r="E20" s="75">
        <f>(B20-0.7)*(0.4)+0.91</f>
        <v>0.91</v>
      </c>
      <c r="F20" s="78">
        <f>E20*'Data Entry'!$C$9/'Data Entry'!$C$5</f>
        <v>0.91</v>
      </c>
      <c r="G20" s="67">
        <f>IF((F20&lt;0.75),0,('Data Entry'!$C$8)+((1-(F20))/(1-0.75)*('Data Entry'!$D$8-'Data Entry'!$C$8)))</f>
        <v>0.9164</v>
      </c>
      <c r="H20" s="67">
        <f>IF((F20&lt;0.7499),('Data Entry'!$D$8)+((0.75-(F20))/(0.75-0.5)*('Data Entry'!$E$8-'Data Entry'!$D$8)),0)</f>
        <v>0</v>
      </c>
      <c r="I20" s="67">
        <f t="shared" si="4"/>
        <v>0.9164</v>
      </c>
      <c r="J20" s="80">
        <f>'Data Entry'!$C$5*Calculations!F20/I20*0.746</f>
        <v>370.3950240069839</v>
      </c>
      <c r="K20" s="80">
        <f t="shared" si="5"/>
        <v>2592.765168048887</v>
      </c>
      <c r="L20" s="74"/>
      <c r="M20" s="93">
        <f>(B20-0.7)*(0.96)+0.668</f>
        <v>0.668</v>
      </c>
      <c r="N20" s="90">
        <f>M20*'Data Entry'!$C$9/'Data Entry'!$C$5</f>
        <v>0.668</v>
      </c>
      <c r="O20" s="91">
        <f>IF((N20&lt;0.75),0,('Data Entry'!$C$8)+((1-(N20))/(1-0.75)*('Data Entry'!$D$8-'Data Entry'!$C$8)))</f>
        <v>0</v>
      </c>
      <c r="P20" s="91">
        <f>IF((N20&lt;0.7499),('Data Entry'!$D$8)+((0.75-(N20))/(0.75-0.5)*('Data Entry'!$E$8-'Data Entry'!$D$8)),0)</f>
        <v>0.9067200000000001</v>
      </c>
      <c r="Q20" s="91">
        <f t="shared" si="6"/>
        <v>0.9067200000000001</v>
      </c>
      <c r="R20" s="92">
        <f>'Data Entry'!$C$5*Calculations!N20/Q20*0.746</f>
        <v>274.7970707605435</v>
      </c>
      <c r="S20" s="92">
        <f t="shared" si="7"/>
        <v>1923.5794953238044</v>
      </c>
      <c r="U20" s="118">
        <f t="shared" si="8"/>
        <v>0.3429999999999999</v>
      </c>
      <c r="V20" s="119">
        <f>U20*'Data Entry'!$C$9/'Data Entry'!$C$5</f>
        <v>0.3429999999999999</v>
      </c>
      <c r="W20" s="120">
        <f>IF((V20&lt;0.75),0,('Data Entry'!$C$8)+((1-(V20))/(1-0.75)*('Data Entry'!$D$8-'Data Entry'!$C$8)))</f>
        <v>0</v>
      </c>
      <c r="X20" s="120">
        <f>IF((V20&lt;0.7499),('Data Entry'!$D$8)+((0.75-(V20))/(0.75-0.5)*('Data Entry'!$E$8-'Data Entry'!$D$8)),0)</f>
        <v>0.8937200000000001</v>
      </c>
      <c r="Y20" s="120">
        <f t="shared" si="9"/>
        <v>0.8937200000000001</v>
      </c>
      <c r="Z20" s="121">
        <f>'Data Entry'!$C$5*Calculations!V20/Y20*0.746</f>
        <v>143.15333661549474</v>
      </c>
      <c r="AA20" s="184">
        <f t="shared" si="20"/>
        <v>0</v>
      </c>
      <c r="AB20" s="120">
        <f t="shared" si="10"/>
        <v>0</v>
      </c>
      <c r="AC20" s="184">
        <f t="shared" si="11"/>
        <v>0</v>
      </c>
      <c r="AD20" s="184">
        <f t="shared" si="12"/>
        <v>1</v>
      </c>
      <c r="AE20" s="120">
        <f t="shared" si="13"/>
        <v>0</v>
      </c>
      <c r="AF20" s="184">
        <f t="shared" si="21"/>
        <v>1</v>
      </c>
      <c r="AG20" s="184">
        <f t="shared" si="24"/>
        <v>1</v>
      </c>
      <c r="AH20" s="120">
        <f t="shared" si="14"/>
        <v>0.9481839999999999</v>
      </c>
      <c r="AI20" s="184">
        <f t="shared" si="22"/>
        <v>1</v>
      </c>
      <c r="AJ20" s="184">
        <f t="shared" si="15"/>
        <v>0</v>
      </c>
      <c r="AK20" s="120">
        <f t="shared" si="16"/>
        <v>0</v>
      </c>
      <c r="AL20" s="184">
        <f t="shared" si="23"/>
        <v>0</v>
      </c>
      <c r="AM20" s="120">
        <f t="shared" si="25"/>
        <v>0</v>
      </c>
      <c r="AN20" s="120">
        <f t="shared" si="17"/>
        <v>0.9481839999999999</v>
      </c>
      <c r="AO20" s="135">
        <f t="shared" si="18"/>
        <v>150.9763259193308</v>
      </c>
      <c r="AP20" s="135">
        <f t="shared" si="19"/>
        <v>1056.8342814353157</v>
      </c>
    </row>
    <row r="21" spans="1:42" ht="12.75">
      <c r="A21" s="6">
        <f>'Data Entry'!H11</f>
        <v>3</v>
      </c>
      <c r="B21" s="127">
        <f>'Data Entry'!I11</f>
        <v>0.6</v>
      </c>
      <c r="C21" s="129">
        <f t="shared" si="3"/>
        <v>1216.304347826087</v>
      </c>
      <c r="D21" s="63"/>
      <c r="E21" s="75">
        <f>(B21-0.6)*(0.47)+0.863</f>
        <v>0.863</v>
      </c>
      <c r="F21" s="78">
        <f>E21*'Data Entry'!$C$9/'Data Entry'!$C$5</f>
        <v>0.863</v>
      </c>
      <c r="G21" s="67">
        <f>IF((F21&lt;0.75),0,('Data Entry'!$C$8)+((1-(F21))/(1-0.75)*('Data Entry'!$D$8-'Data Entry'!$C$8)))</f>
        <v>0.91452</v>
      </c>
      <c r="H21" s="67">
        <f>IF((F21&lt;0.7499),('Data Entry'!$D$8)+((0.75-(F21))/(0.75-0.5)*('Data Entry'!$E$8-'Data Entry'!$D$8)),0)</f>
        <v>0</v>
      </c>
      <c r="I21" s="67">
        <f t="shared" si="4"/>
        <v>0.91452</v>
      </c>
      <c r="J21" s="80">
        <f>'Data Entry'!$C$5*Calculations!F21/I21*0.746</f>
        <v>351.9868346236277</v>
      </c>
      <c r="K21" s="80">
        <f t="shared" si="5"/>
        <v>1055.9605038708833</v>
      </c>
      <c r="L21" s="74"/>
      <c r="M21" s="93">
        <f>(B21-0.6)*(0.668)+0.6</f>
        <v>0.6</v>
      </c>
      <c r="N21" s="90">
        <f>M21*'Data Entry'!$C$9/'Data Entry'!$C$5</f>
        <v>0.6</v>
      </c>
      <c r="O21" s="91">
        <f>IF((N21&lt;0.75),0,('Data Entry'!$C$8)+((1-(N21))/(1-0.75)*('Data Entry'!$D$8-'Data Entry'!$C$8)))</f>
        <v>0</v>
      </c>
      <c r="P21" s="91">
        <f>IF((N21&lt;0.7499),('Data Entry'!$D$8)+((0.75-(N21))/(0.75-0.5)*('Data Entry'!$E$8-'Data Entry'!$D$8)),0)</f>
        <v>0.904</v>
      </c>
      <c r="Q21" s="91">
        <f t="shared" si="6"/>
        <v>0.904</v>
      </c>
      <c r="R21" s="92">
        <f>'Data Entry'!$C$5*Calculations!N21/Q21*0.746</f>
        <v>247.56637168141592</v>
      </c>
      <c r="S21" s="92">
        <f t="shared" si="7"/>
        <v>742.6991150442477</v>
      </c>
      <c r="U21" s="118">
        <f t="shared" si="8"/>
        <v>0.216</v>
      </c>
      <c r="V21" s="119">
        <f>U21*'Data Entry'!$C$9/'Data Entry'!$C$5</f>
        <v>0.216</v>
      </c>
      <c r="W21" s="120">
        <f>IF((V21&lt;0.75),0,('Data Entry'!$C$8)+((1-(V21))/(1-0.75)*('Data Entry'!$D$8-'Data Entry'!$C$8)))</f>
        <v>0</v>
      </c>
      <c r="X21" s="120">
        <f>IF((V21&lt;0.7499),('Data Entry'!$D$8)+((0.75-(V21))/(0.75-0.5)*('Data Entry'!$E$8-'Data Entry'!$D$8)),0)</f>
        <v>0.88864</v>
      </c>
      <c r="Y21" s="120">
        <f t="shared" si="9"/>
        <v>0.88864</v>
      </c>
      <c r="Z21" s="121">
        <f>'Data Entry'!$C$5*Calculations!V21/Y21*0.746</f>
        <v>90.66438602808788</v>
      </c>
      <c r="AA21" s="184">
        <f t="shared" si="20"/>
        <v>0</v>
      </c>
      <c r="AB21" s="120">
        <f t="shared" si="10"/>
        <v>0</v>
      </c>
      <c r="AC21" s="184">
        <f t="shared" si="11"/>
        <v>0</v>
      </c>
      <c r="AD21" s="184">
        <f t="shared" si="12"/>
        <v>1</v>
      </c>
      <c r="AE21" s="120">
        <f t="shared" si="13"/>
        <v>0</v>
      </c>
      <c r="AF21" s="184">
        <f t="shared" si="21"/>
        <v>0</v>
      </c>
      <c r="AG21" s="184">
        <f t="shared" si="24"/>
        <v>1</v>
      </c>
      <c r="AH21" s="120">
        <f t="shared" si="14"/>
        <v>0</v>
      </c>
      <c r="AI21" s="184">
        <f t="shared" si="22"/>
        <v>1</v>
      </c>
      <c r="AJ21" s="184">
        <f t="shared" si="15"/>
        <v>1</v>
      </c>
      <c r="AK21" s="120">
        <f t="shared" si="16"/>
        <v>1.0064</v>
      </c>
      <c r="AL21" s="184">
        <f t="shared" si="23"/>
        <v>0</v>
      </c>
      <c r="AM21" s="120">
        <f t="shared" si="25"/>
        <v>0</v>
      </c>
      <c r="AN21" s="120">
        <f t="shared" si="17"/>
        <v>1.0064</v>
      </c>
      <c r="AO21" s="135">
        <f t="shared" si="18"/>
        <v>90.0878239547773</v>
      </c>
      <c r="AP21" s="135">
        <f t="shared" si="19"/>
        <v>270.2634718643319</v>
      </c>
    </row>
    <row r="22" spans="1:42" ht="12.75">
      <c r="A22" s="6">
        <f>'Data Entry'!H12</f>
        <v>5</v>
      </c>
      <c r="B22" s="127">
        <f>'Data Entry'!I12</f>
        <v>0.5</v>
      </c>
      <c r="C22" s="129">
        <f t="shared" si="3"/>
        <v>2027.173913043478</v>
      </c>
      <c r="D22" s="63"/>
      <c r="E22" s="75">
        <f>(B22-0.5)*(0.68)+0.795</f>
        <v>0.795</v>
      </c>
      <c r="F22" s="78">
        <f>E22*'Data Entry'!$C$9/'Data Entry'!$C$5</f>
        <v>0.795</v>
      </c>
      <c r="G22" s="67">
        <f>IF((F22&lt;0.75),0,('Data Entry'!$C$8)+((1-(F22))/(1-0.75)*('Data Entry'!$D$8-'Data Entry'!$C$8)))</f>
        <v>0.9118</v>
      </c>
      <c r="H22" s="67">
        <f>IF((F22&lt;0.7499),('Data Entry'!$D$8)+((0.75-(F22))/(0.75-0.5)*('Data Entry'!$E$8-'Data Entry'!$D$8)),0)</f>
        <v>0</v>
      </c>
      <c r="I22" s="67">
        <f t="shared" si="4"/>
        <v>0.9118</v>
      </c>
      <c r="J22" s="80">
        <f>'Data Entry'!$C$5*Calculations!F22/I22*0.746</f>
        <v>325.2193463478833</v>
      </c>
      <c r="K22" s="80">
        <f t="shared" si="5"/>
        <v>1626.0967317394166</v>
      </c>
      <c r="L22" s="74"/>
      <c r="M22" s="93">
        <f>(B22-0.5)*(0.69)+0.531</f>
        <v>0.531</v>
      </c>
      <c r="N22" s="90">
        <f>M22*'Data Entry'!$C$9/'Data Entry'!$C$5</f>
        <v>0.531</v>
      </c>
      <c r="O22" s="91">
        <f>IF((N22&lt;0.75),0,('Data Entry'!$C$8)+((1-(N22))/(1-0.75)*('Data Entry'!$D$8-'Data Entry'!$C$8)))</f>
        <v>0</v>
      </c>
      <c r="P22" s="91">
        <f>IF((N22&lt;0.7499),('Data Entry'!$D$8)+((0.75-(N22))/(0.75-0.5)*('Data Entry'!$E$8-'Data Entry'!$D$8)),0)</f>
        <v>0.90124</v>
      </c>
      <c r="Q22" s="91">
        <f t="shared" si="6"/>
        <v>0.90124</v>
      </c>
      <c r="R22" s="92">
        <f>'Data Entry'!$C$5*Calculations!N22/Q22*0.746</f>
        <v>219.76720962229814</v>
      </c>
      <c r="S22" s="92">
        <f t="shared" si="7"/>
        <v>1098.8360481114908</v>
      </c>
      <c r="U22" s="118">
        <f t="shared" si="8"/>
        <v>0.125</v>
      </c>
      <c r="V22" s="119">
        <f>U22*'Data Entry'!$C$9/'Data Entry'!$C$5</f>
        <v>0.125</v>
      </c>
      <c r="W22" s="120">
        <f>IF((V22&lt;0.75),0,('Data Entry'!$C$8)+((1-(V22))/(1-0.75)*('Data Entry'!$D$8-'Data Entry'!$C$8)))</f>
        <v>0</v>
      </c>
      <c r="X22" s="120">
        <f>IF((V22&lt;0.7499),('Data Entry'!$D$8)+((0.75-(V22))/(0.75-0.5)*('Data Entry'!$E$8-'Data Entry'!$D$8)),0)</f>
        <v>0.885</v>
      </c>
      <c r="Y22" s="120">
        <f t="shared" si="9"/>
        <v>0.885</v>
      </c>
      <c r="Z22" s="121">
        <f>'Data Entry'!$C$5*Calculations!V22/Y22*0.746</f>
        <v>52.68361581920904</v>
      </c>
      <c r="AA22" s="184">
        <f t="shared" si="20"/>
        <v>0</v>
      </c>
      <c r="AB22" s="120">
        <f t="shared" si="10"/>
        <v>0</v>
      </c>
      <c r="AC22" s="184">
        <f t="shared" si="11"/>
        <v>0</v>
      </c>
      <c r="AD22" s="184">
        <f t="shared" si="12"/>
        <v>1</v>
      </c>
      <c r="AE22" s="120">
        <f t="shared" si="13"/>
        <v>0</v>
      </c>
      <c r="AF22" s="184">
        <f t="shared" si="21"/>
        <v>0</v>
      </c>
      <c r="AG22" s="184">
        <f t="shared" si="24"/>
        <v>1</v>
      </c>
      <c r="AH22" s="120">
        <f t="shared" si="14"/>
        <v>0</v>
      </c>
      <c r="AI22" s="184">
        <f t="shared" si="22"/>
        <v>1</v>
      </c>
      <c r="AJ22" s="184">
        <f t="shared" si="15"/>
        <v>1</v>
      </c>
      <c r="AK22" s="120">
        <f t="shared" si="16"/>
        <v>0.97</v>
      </c>
      <c r="AL22" s="184">
        <f t="shared" si="23"/>
        <v>0</v>
      </c>
      <c r="AM22" s="120">
        <f t="shared" si="25"/>
        <v>0</v>
      </c>
      <c r="AN22" s="120">
        <f t="shared" si="17"/>
        <v>0.97</v>
      </c>
      <c r="AO22" s="135">
        <f t="shared" si="18"/>
        <v>54.313005999184576</v>
      </c>
      <c r="AP22" s="135">
        <f t="shared" si="19"/>
        <v>271.5650299959229</v>
      </c>
    </row>
    <row r="23" spans="1:42" ht="12.75">
      <c r="A23" s="6">
        <f>'Data Entry'!H13</f>
        <v>1</v>
      </c>
      <c r="B23" s="127">
        <f>'Data Entry'!I13</f>
        <v>0.4</v>
      </c>
      <c r="C23" s="129">
        <f t="shared" si="3"/>
        <v>405.4347826086956</v>
      </c>
      <c r="D23" s="63"/>
      <c r="E23" s="75">
        <f>(B23-0.4)*(0.8)+0.715</f>
        <v>0.715</v>
      </c>
      <c r="F23" s="78">
        <f>E23*'Data Entry'!$C$9/'Data Entry'!$C$5</f>
        <v>0.715</v>
      </c>
      <c r="G23" s="67">
        <f>IF((F23&lt;0.75),0,('Data Entry'!$C$8)+((1-(F23))/(1-0.75)*('Data Entry'!$D$8-'Data Entry'!$C$8)))</f>
        <v>0</v>
      </c>
      <c r="H23" s="67">
        <f>IF((F23&lt;0.7499),('Data Entry'!$D$8)+((0.75-(F23))/(0.75-0.5)*('Data Entry'!$E$8-'Data Entry'!$D$8)),0)</f>
        <v>0.9086000000000001</v>
      </c>
      <c r="I23" s="67">
        <f t="shared" si="4"/>
        <v>0.9086000000000001</v>
      </c>
      <c r="J23" s="80">
        <f>'Data Entry'!$C$5*Calculations!F23/I23*0.746</f>
        <v>293.52300242130747</v>
      </c>
      <c r="K23" s="80">
        <f t="shared" si="5"/>
        <v>293.52300242130747</v>
      </c>
      <c r="L23" s="74"/>
      <c r="M23" s="93">
        <f>(B23-0.4)*(0.51)+0.48</f>
        <v>0.48</v>
      </c>
      <c r="N23" s="90">
        <f>M23*'Data Entry'!$C$9/'Data Entry'!$C$5</f>
        <v>0.48</v>
      </c>
      <c r="O23" s="91">
        <f>IF((N23&lt;0.75),0,('Data Entry'!$C$8)+((1-(N23))/(1-0.75)*('Data Entry'!$D$8-'Data Entry'!$C$8)))</f>
        <v>0</v>
      </c>
      <c r="P23" s="91">
        <f>IF((N23&lt;0.7499),('Data Entry'!$D$8)+((0.75-(N23))/(0.75-0.5)*('Data Entry'!$E$8-'Data Entry'!$D$8)),0)</f>
        <v>0.8992</v>
      </c>
      <c r="Q23" s="91">
        <f t="shared" si="6"/>
        <v>0.8992</v>
      </c>
      <c r="R23" s="92">
        <f>'Data Entry'!$C$5*Calculations!N23/Q23*0.746</f>
        <v>199.1103202846975</v>
      </c>
      <c r="S23" s="92">
        <f t="shared" si="7"/>
        <v>199.1103202846975</v>
      </c>
      <c r="U23" s="118">
        <f t="shared" si="8"/>
        <v>0.06400000000000002</v>
      </c>
      <c r="V23" s="119">
        <f>U23*'Data Entry'!$C$9/'Data Entry'!$C$5</f>
        <v>0.06400000000000002</v>
      </c>
      <c r="W23" s="120">
        <f>IF((V23&lt;0.75),0,('Data Entry'!$C$8)+((1-(V23))/(1-0.75)*('Data Entry'!$D$8-'Data Entry'!$C$8)))</f>
        <v>0</v>
      </c>
      <c r="X23" s="120">
        <f>IF((V23&lt;0.7499),('Data Entry'!$D$8)+((0.75-(V23))/(0.75-0.5)*('Data Entry'!$E$8-'Data Entry'!$D$8)),0)</f>
        <v>0.88256</v>
      </c>
      <c r="Y23" s="120">
        <f t="shared" si="9"/>
        <v>0.88256</v>
      </c>
      <c r="Z23" s="121">
        <f>'Data Entry'!$C$5*Calculations!V23/Y23*0.746</f>
        <v>27.04858593183467</v>
      </c>
      <c r="AA23" s="184">
        <f t="shared" si="20"/>
        <v>0</v>
      </c>
      <c r="AB23" s="120">
        <f t="shared" si="10"/>
        <v>0</v>
      </c>
      <c r="AC23" s="184">
        <f t="shared" si="11"/>
        <v>0</v>
      </c>
      <c r="AD23" s="184">
        <f t="shared" si="12"/>
        <v>1</v>
      </c>
      <c r="AE23" s="120">
        <f t="shared" si="13"/>
        <v>0</v>
      </c>
      <c r="AF23" s="184">
        <f t="shared" si="21"/>
        <v>0</v>
      </c>
      <c r="AG23" s="184">
        <f t="shared" si="24"/>
        <v>1</v>
      </c>
      <c r="AH23" s="120">
        <f t="shared" si="14"/>
        <v>0</v>
      </c>
      <c r="AI23" s="184">
        <f t="shared" si="22"/>
        <v>1</v>
      </c>
      <c r="AJ23" s="184">
        <f t="shared" si="15"/>
        <v>1</v>
      </c>
      <c r="AK23" s="120">
        <f t="shared" si="16"/>
        <v>0.9456</v>
      </c>
      <c r="AL23" s="184">
        <f t="shared" si="23"/>
        <v>0</v>
      </c>
      <c r="AM23" s="120">
        <f t="shared" si="25"/>
        <v>0</v>
      </c>
      <c r="AN23" s="120">
        <f t="shared" si="17"/>
        <v>0.9456</v>
      </c>
      <c r="AO23" s="135">
        <f t="shared" si="18"/>
        <v>28.604680553970674</v>
      </c>
      <c r="AP23" s="135">
        <f t="shared" si="19"/>
        <v>28.604680553970674</v>
      </c>
    </row>
    <row r="24" spans="1:42" ht="12.75">
      <c r="A24" s="6">
        <f>'Data Entry'!H14</f>
        <v>0</v>
      </c>
      <c r="B24" s="127">
        <f>'Data Entry'!I14</f>
        <v>0.3</v>
      </c>
      <c r="C24" s="129">
        <f t="shared" si="3"/>
        <v>0</v>
      </c>
      <c r="D24" s="63"/>
      <c r="E24" s="75">
        <f>(B24-0.3)*(0.85)+0.63</f>
        <v>0.63</v>
      </c>
      <c r="F24" s="78">
        <f>E24*'Data Entry'!$C$9/'Data Entry'!$C$5</f>
        <v>0.63</v>
      </c>
      <c r="G24" s="67">
        <f>IF((F24&lt;0.75),0,('Data Entry'!$C$8)+((1-(F24))/(1-0.75)*('Data Entry'!$D$8-'Data Entry'!$C$8)))</f>
        <v>0</v>
      </c>
      <c r="H24" s="67">
        <f>IF((F24&lt;0.7499),('Data Entry'!$D$8)+((0.75-(F24))/(0.75-0.5)*('Data Entry'!$E$8-'Data Entry'!$D$8)),0)</f>
        <v>0.9052</v>
      </c>
      <c r="I24" s="67">
        <f t="shared" si="4"/>
        <v>0.9052</v>
      </c>
      <c r="J24" s="80">
        <f>'Data Entry'!$C$5*Calculations!F24/I24*0.746</f>
        <v>259.60008837825893</v>
      </c>
      <c r="K24" s="80">
        <f t="shared" si="5"/>
        <v>0</v>
      </c>
      <c r="L24" s="74"/>
      <c r="M24" s="93">
        <f>(B24-0.3)*(0.4)+0.44</f>
        <v>0.44</v>
      </c>
      <c r="N24" s="90">
        <f>M24*'Data Entry'!$C$9/'Data Entry'!$C$5</f>
        <v>0.44</v>
      </c>
      <c r="O24" s="91">
        <f>IF((N24&lt;0.75),0,('Data Entry'!$C$8)+((1-(N24))/(1-0.75)*('Data Entry'!$D$8-'Data Entry'!$C$8)))</f>
        <v>0</v>
      </c>
      <c r="P24" s="91">
        <f>IF((N24&lt;0.7499),('Data Entry'!$D$8)+((0.75-(N24))/(0.75-0.5)*('Data Entry'!$E$8-'Data Entry'!$D$8)),0)</f>
        <v>0.8976000000000001</v>
      </c>
      <c r="Q24" s="91">
        <f t="shared" si="6"/>
        <v>0.8976000000000001</v>
      </c>
      <c r="R24" s="92">
        <f>'Data Entry'!$C$5*Calculations!N24/Q24*0.746</f>
        <v>182.84313725490196</v>
      </c>
      <c r="S24" s="92">
        <f t="shared" si="7"/>
        <v>0</v>
      </c>
      <c r="U24" s="118">
        <f t="shared" si="8"/>
        <v>0.027</v>
      </c>
      <c r="V24" s="119">
        <f>U24*'Data Entry'!$C$9/'Data Entry'!$C$5</f>
        <v>0.027</v>
      </c>
      <c r="W24" s="120">
        <f>IF((V24&lt;0.75),0,('Data Entry'!$C$8)+((1-(V24))/(1-0.75)*('Data Entry'!$D$8-'Data Entry'!$C$8)))</f>
        <v>0</v>
      </c>
      <c r="X24" s="120">
        <f>IF((V24&lt;0.7499),('Data Entry'!$D$8)+((0.75-(V24))/(0.75-0.5)*('Data Entry'!$E$8-'Data Entry'!$D$8)),0)</f>
        <v>0.88108</v>
      </c>
      <c r="Y24" s="120">
        <f t="shared" si="9"/>
        <v>0.88108</v>
      </c>
      <c r="Z24" s="121">
        <f>'Data Entry'!$C$5*Calculations!V24/Y24*0.746</f>
        <v>11.430290098515458</v>
      </c>
      <c r="AA24" s="184">
        <f t="shared" si="20"/>
        <v>0</v>
      </c>
      <c r="AB24" s="120">
        <f t="shared" si="10"/>
        <v>0</v>
      </c>
      <c r="AC24" s="184">
        <f t="shared" si="11"/>
        <v>0</v>
      </c>
      <c r="AD24" s="184">
        <f t="shared" si="12"/>
        <v>1</v>
      </c>
      <c r="AE24" s="120">
        <f t="shared" si="13"/>
        <v>0</v>
      </c>
      <c r="AF24" s="184">
        <f t="shared" si="21"/>
        <v>0</v>
      </c>
      <c r="AG24" s="184">
        <f t="shared" si="24"/>
        <v>1</v>
      </c>
      <c r="AH24" s="120">
        <f t="shared" si="14"/>
        <v>0</v>
      </c>
      <c r="AI24" s="184">
        <f t="shared" si="22"/>
        <v>0</v>
      </c>
      <c r="AJ24" s="184">
        <f t="shared" si="15"/>
        <v>1</v>
      </c>
      <c r="AK24" s="120">
        <f t="shared" si="16"/>
        <v>0</v>
      </c>
      <c r="AL24" s="184">
        <f t="shared" si="23"/>
        <v>1</v>
      </c>
      <c r="AM24" s="120">
        <f t="shared" si="25"/>
        <v>0.85632</v>
      </c>
      <c r="AN24" s="120">
        <f t="shared" si="17"/>
        <v>0.85632</v>
      </c>
      <c r="AO24" s="135">
        <f t="shared" si="18"/>
        <v>13.348152674835877</v>
      </c>
      <c r="AP24" s="135">
        <f t="shared" si="19"/>
        <v>0</v>
      </c>
    </row>
    <row r="25" spans="1:42" ht="12.75">
      <c r="A25" s="6">
        <f>'Data Entry'!H15</f>
        <v>0</v>
      </c>
      <c r="B25" s="127">
        <f>'Data Entry'!I15</f>
        <v>0.2</v>
      </c>
      <c r="C25" s="129">
        <f t="shared" si="3"/>
        <v>0</v>
      </c>
      <c r="D25" s="63"/>
      <c r="E25" s="75">
        <f>(B25-0.2)*(0.9)+0.54</f>
        <v>0.54</v>
      </c>
      <c r="F25" s="78">
        <f>E25*'Data Entry'!$C$9/'Data Entry'!$C$5</f>
        <v>0.54</v>
      </c>
      <c r="G25" s="67">
        <f>IF((F25&lt;0.75),0,('Data Entry'!$C$8)+((1-(F25))/(1-0.75)*('Data Entry'!$D$8-'Data Entry'!$C$8)))</f>
        <v>0</v>
      </c>
      <c r="H25" s="67">
        <f>IF((F25&lt;0.7499),('Data Entry'!$D$8)+((0.75-(F25))/(0.75-0.5)*('Data Entry'!$E$8-'Data Entry'!$D$8)),0)</f>
        <v>0.9016000000000001</v>
      </c>
      <c r="I25" s="67">
        <f t="shared" si="4"/>
        <v>0.9016000000000001</v>
      </c>
      <c r="J25" s="80">
        <f>'Data Entry'!$C$5*Calculations!F25/I25*0.746</f>
        <v>223.40283939662822</v>
      </c>
      <c r="K25" s="80">
        <f t="shared" si="5"/>
        <v>0</v>
      </c>
      <c r="L25" s="74"/>
      <c r="M25" s="93">
        <f>(B25-0.2)*(0.4)+0.4</f>
        <v>0.4</v>
      </c>
      <c r="N25" s="90">
        <f>M25*'Data Entry'!$C$9/'Data Entry'!$C$5</f>
        <v>0.4</v>
      </c>
      <c r="O25" s="91">
        <f>IF((N25&lt;0.75),0,('Data Entry'!$C$8)+((1-(N25))/(1-0.75)*('Data Entry'!$D$8-'Data Entry'!$C$8)))</f>
        <v>0</v>
      </c>
      <c r="P25" s="91">
        <f>IF((N25&lt;0.7499),('Data Entry'!$D$8)+((0.75-(N25))/(0.75-0.5)*('Data Entry'!$E$8-'Data Entry'!$D$8)),0)</f>
        <v>0.896</v>
      </c>
      <c r="Q25" s="91">
        <f t="shared" si="6"/>
        <v>0.896</v>
      </c>
      <c r="R25" s="92">
        <f>'Data Entry'!$C$5*Calculations!N25/Q25*0.746</f>
        <v>166.51785714285714</v>
      </c>
      <c r="S25" s="92">
        <f t="shared" si="7"/>
        <v>0</v>
      </c>
      <c r="U25" s="118">
        <f t="shared" si="8"/>
        <v>0.008000000000000002</v>
      </c>
      <c r="V25" s="119">
        <f>U25*'Data Entry'!$C$9/'Data Entry'!$C$5</f>
        <v>0.008000000000000002</v>
      </c>
      <c r="W25" s="120">
        <f>IF((V25&lt;0.75),0,('Data Entry'!$C$8)+((1-(V25))/(1-0.75)*('Data Entry'!$D$8-'Data Entry'!$C$8)))</f>
        <v>0</v>
      </c>
      <c r="X25" s="120">
        <f>IF((V25&lt;0.7499),('Data Entry'!$D$8)+((0.75-(V25))/(0.75-0.5)*('Data Entry'!$E$8-'Data Entry'!$D$8)),0)</f>
        <v>0.88032</v>
      </c>
      <c r="Y25" s="120">
        <f t="shared" si="9"/>
        <v>0.88032</v>
      </c>
      <c r="Z25" s="121">
        <f>'Data Entry'!$C$5*Calculations!V25/Y25*0.746</f>
        <v>3.3896764812795355</v>
      </c>
      <c r="AA25" s="184">
        <f t="shared" si="20"/>
        <v>0</v>
      </c>
      <c r="AB25" s="120">
        <f t="shared" si="10"/>
        <v>0</v>
      </c>
      <c r="AC25" s="184">
        <f t="shared" si="11"/>
        <v>0</v>
      </c>
      <c r="AD25" s="184">
        <f t="shared" si="12"/>
        <v>1</v>
      </c>
      <c r="AE25" s="120">
        <f t="shared" si="13"/>
        <v>0</v>
      </c>
      <c r="AF25" s="184">
        <f t="shared" si="21"/>
        <v>0</v>
      </c>
      <c r="AG25" s="184">
        <f t="shared" si="24"/>
        <v>1</v>
      </c>
      <c r="AH25" s="120">
        <f t="shared" si="14"/>
        <v>0</v>
      </c>
      <c r="AI25" s="184">
        <f t="shared" si="22"/>
        <v>0</v>
      </c>
      <c r="AJ25" s="184">
        <f t="shared" si="15"/>
        <v>1</v>
      </c>
      <c r="AK25" s="120">
        <f t="shared" si="16"/>
        <v>0</v>
      </c>
      <c r="AL25" s="184">
        <f t="shared" si="23"/>
        <v>1</v>
      </c>
      <c r="AM25" s="120">
        <f t="shared" si="25"/>
        <v>0.8380799999999999</v>
      </c>
      <c r="AN25" s="120">
        <f t="shared" si="17"/>
        <v>0.8380799999999999</v>
      </c>
      <c r="AO25" s="135">
        <f t="shared" si="18"/>
        <v>4.044573884688258</v>
      </c>
      <c r="AP25" s="135">
        <f t="shared" si="19"/>
        <v>0</v>
      </c>
    </row>
    <row r="26" spans="1:42" ht="12.75">
      <c r="A26" s="6">
        <f>'Data Entry'!H16</f>
        <v>0</v>
      </c>
      <c r="B26" s="127">
        <f>'Data Entry'!I16</f>
        <v>0.1</v>
      </c>
      <c r="C26" s="129">
        <f t="shared" si="3"/>
        <v>0</v>
      </c>
      <c r="D26" s="63"/>
      <c r="E26" s="75">
        <f>(B26-0.1)*(1)+0.44</f>
        <v>0.44</v>
      </c>
      <c r="F26" s="78">
        <f>E26*'Data Entry'!$C$9/'Data Entry'!$C$5</f>
        <v>0.44</v>
      </c>
      <c r="G26" s="67">
        <f>IF((F26&lt;0.75),0,('Data Entry'!$C$8)+((1-(F26))/(1-0.75)*('Data Entry'!$D$8-'Data Entry'!$C$8)))</f>
        <v>0</v>
      </c>
      <c r="H26" s="67">
        <f>IF((F26&lt;0.7499),('Data Entry'!$D$8)+((0.75-(F26))/(0.75-0.5)*('Data Entry'!$E$8-'Data Entry'!$D$8)),0)</f>
        <v>0.8976000000000001</v>
      </c>
      <c r="I26" s="67">
        <f t="shared" si="4"/>
        <v>0.8976000000000001</v>
      </c>
      <c r="J26" s="80">
        <f>'Data Entry'!$C$5*Calculations!F26/I26*0.746</f>
        <v>182.84313725490196</v>
      </c>
      <c r="K26" s="80">
        <f t="shared" si="5"/>
        <v>0</v>
      </c>
      <c r="L26" s="74"/>
      <c r="M26" s="93">
        <f>(B26-0.1)*(0.3)+0.37</f>
        <v>0.37</v>
      </c>
      <c r="N26" s="90">
        <f>M26*'Data Entry'!$C$9/'Data Entry'!$C$5</f>
        <v>0.37</v>
      </c>
      <c r="O26" s="91">
        <f>IF((N26&lt;0.75),0,('Data Entry'!$C$8)+((1-(N26))/(1-0.75)*('Data Entry'!$D$8-'Data Entry'!$C$8)))</f>
        <v>0</v>
      </c>
      <c r="P26" s="91">
        <f>IF((N26&lt;0.7499),('Data Entry'!$D$8)+((0.75-(N26))/(0.75-0.5)*('Data Entry'!$E$8-'Data Entry'!$D$8)),0)</f>
        <v>0.8948</v>
      </c>
      <c r="Q26" s="91">
        <f t="shared" si="6"/>
        <v>0.8948</v>
      </c>
      <c r="R26" s="92">
        <f>'Data Entry'!$C$5*Calculations!N26/Q26*0.746</f>
        <v>154.2355833705856</v>
      </c>
      <c r="S26" s="92">
        <f t="shared" si="7"/>
        <v>0</v>
      </c>
      <c r="U26" s="118">
        <f t="shared" si="8"/>
        <v>0.0010000000000000002</v>
      </c>
      <c r="V26" s="119">
        <f>U26*'Data Entry'!$C$9/'Data Entry'!$C$5</f>
        <v>0.0010000000000000002</v>
      </c>
      <c r="W26" s="120">
        <f>IF((V26&lt;0.75),0,('Data Entry'!$C$8)+((1-(V26))/(1-0.75)*('Data Entry'!$D$8-'Data Entry'!$C$8)))</f>
        <v>0</v>
      </c>
      <c r="X26" s="120">
        <f>IF((V26&lt;0.7499),('Data Entry'!$D$8)+((0.75-(V26))/(0.75-0.5)*('Data Entry'!$E$8-'Data Entry'!$D$8)),0)</f>
        <v>0.88004</v>
      </c>
      <c r="Y26" s="120">
        <f t="shared" si="9"/>
        <v>0.88004</v>
      </c>
      <c r="Z26" s="121">
        <f>'Data Entry'!$C$5*Calculations!V26/Y26*0.746</f>
        <v>0.42384437071042236</v>
      </c>
      <c r="AA26" s="184">
        <f t="shared" si="20"/>
        <v>0</v>
      </c>
      <c r="AB26" s="120">
        <f t="shared" si="10"/>
        <v>0</v>
      </c>
      <c r="AC26" s="184">
        <f t="shared" si="11"/>
        <v>0</v>
      </c>
      <c r="AD26" s="184">
        <f t="shared" si="12"/>
        <v>1</v>
      </c>
      <c r="AE26" s="120">
        <f t="shared" si="13"/>
        <v>0</v>
      </c>
      <c r="AF26" s="184">
        <f t="shared" si="21"/>
        <v>0</v>
      </c>
      <c r="AG26" s="184">
        <f t="shared" si="24"/>
        <v>1</v>
      </c>
      <c r="AH26" s="120">
        <f t="shared" si="14"/>
        <v>0</v>
      </c>
      <c r="AI26" s="184">
        <f t="shared" si="22"/>
        <v>0</v>
      </c>
      <c r="AJ26" s="184">
        <f t="shared" si="15"/>
        <v>1</v>
      </c>
      <c r="AK26" s="120">
        <f t="shared" si="16"/>
        <v>0</v>
      </c>
      <c r="AL26" s="184">
        <f t="shared" si="23"/>
        <v>1</v>
      </c>
      <c r="AM26" s="120">
        <f t="shared" si="25"/>
        <v>0.83136</v>
      </c>
      <c r="AN26" s="120">
        <f t="shared" si="17"/>
        <v>0.83136</v>
      </c>
      <c r="AO26" s="135">
        <f t="shared" si="18"/>
        <v>0.5098204997960238</v>
      </c>
      <c r="AP26" s="135">
        <f t="shared" si="19"/>
        <v>0</v>
      </c>
    </row>
    <row r="27" spans="1:42" ht="12.75">
      <c r="A27" s="6">
        <v>0</v>
      </c>
      <c r="B27" s="127">
        <f>'Data Entry'!I17</f>
        <v>0</v>
      </c>
      <c r="C27" s="129">
        <f t="shared" si="3"/>
        <v>0</v>
      </c>
      <c r="D27" s="63"/>
      <c r="E27" s="75">
        <f>(B27)*(1.08)+0.332</f>
        <v>0.332</v>
      </c>
      <c r="F27" s="78">
        <f>E27*'Data Entry'!$C$9/'Data Entry'!$C$5</f>
        <v>0.332</v>
      </c>
      <c r="G27" s="67">
        <f>IF((F27&lt;0.75),0,('Data Entry'!$C$8)+((1-(F27))/(1-0.75)*('Data Entry'!$D$8-'Data Entry'!$C$8)))</f>
        <v>0</v>
      </c>
      <c r="H27" s="67">
        <f>IF((F27&lt;0.7499),('Data Entry'!$D$8)+((0.75-(F27))/(0.75-0.5)*('Data Entry'!$E$8-'Data Entry'!$D$8)),0)</f>
        <v>0.8932800000000001</v>
      </c>
      <c r="I27" s="67">
        <f t="shared" si="4"/>
        <v>0.8932800000000001</v>
      </c>
      <c r="J27" s="80">
        <f>'Data Entry'!$C$5*Calculations!F27/I27*0.746</f>
        <v>138.6306645172846</v>
      </c>
      <c r="K27" s="80">
        <f t="shared" si="5"/>
        <v>0</v>
      </c>
      <c r="L27" s="74"/>
      <c r="M27" s="93">
        <f>(B27)*(0.2)+0.35</f>
        <v>0.35</v>
      </c>
      <c r="N27" s="90">
        <f>M27*'Data Entry'!$C$9/'Data Entry'!$C$5</f>
        <v>0.35</v>
      </c>
      <c r="O27" s="91">
        <f>IF((N27&lt;0.75),0,('Data Entry'!$C$8)+((1-(N27))/(1-0.75)*('Data Entry'!$D$8-'Data Entry'!$C$8)))</f>
        <v>0</v>
      </c>
      <c r="P27" s="91">
        <f>IF((N27&lt;0.7499),('Data Entry'!$D$8)+((0.75-(N27))/(0.75-0.5)*('Data Entry'!$E$8-'Data Entry'!$D$8)),0)</f>
        <v>0.894</v>
      </c>
      <c r="Q27" s="91">
        <f t="shared" si="6"/>
        <v>0.894</v>
      </c>
      <c r="R27" s="92">
        <f>'Data Entry'!$C$5*Calculations!N27/Q27*0.746</f>
        <v>146.02908277404921</v>
      </c>
      <c r="S27" s="92">
        <f t="shared" si="7"/>
        <v>0</v>
      </c>
      <c r="U27" s="118">
        <f t="shared" si="8"/>
        <v>0</v>
      </c>
      <c r="V27" s="119">
        <f>U27*'Data Entry'!$C$9/'Data Entry'!$C$5</f>
        <v>0</v>
      </c>
      <c r="W27" s="120">
        <f>IF((V27&lt;0.75),0,('Data Entry'!$C$8)+((1-(V27))/(1-0.75)*('Data Entry'!$D$8-'Data Entry'!$C$8)))</f>
        <v>0</v>
      </c>
      <c r="X27" s="120">
        <f>IF((V27&lt;0.7499),('Data Entry'!$D$8)+((0.75-(V27))/(0.75-0.5)*('Data Entry'!$E$8-'Data Entry'!$D$8)),0)</f>
        <v>0.88</v>
      </c>
      <c r="Y27" s="120">
        <f t="shared" si="9"/>
        <v>0.88</v>
      </c>
      <c r="Z27" s="121">
        <f>'Data Entry'!$C$5*Calculations!V27/Y27*0.746</f>
        <v>0</v>
      </c>
      <c r="AA27" s="184">
        <f t="shared" si="20"/>
        <v>0</v>
      </c>
      <c r="AB27" s="120">
        <f t="shared" si="10"/>
        <v>0</v>
      </c>
      <c r="AC27" s="184">
        <f t="shared" si="11"/>
        <v>0</v>
      </c>
      <c r="AD27" s="184">
        <f t="shared" si="12"/>
        <v>1</v>
      </c>
      <c r="AE27" s="120">
        <f t="shared" si="13"/>
        <v>0</v>
      </c>
      <c r="AF27" s="184">
        <f t="shared" si="21"/>
        <v>0</v>
      </c>
      <c r="AG27" s="184">
        <f t="shared" si="24"/>
        <v>1</v>
      </c>
      <c r="AH27" s="120">
        <f t="shared" si="14"/>
        <v>0</v>
      </c>
      <c r="AI27" s="184">
        <f t="shared" si="22"/>
        <v>0</v>
      </c>
      <c r="AJ27" s="184">
        <f t="shared" si="15"/>
        <v>1</v>
      </c>
      <c r="AK27" s="120">
        <f t="shared" si="16"/>
        <v>0</v>
      </c>
      <c r="AL27" s="184">
        <f t="shared" si="23"/>
        <v>1</v>
      </c>
      <c r="AM27" s="120">
        <f t="shared" si="25"/>
        <v>0.8303999999999999</v>
      </c>
      <c r="AN27" s="120">
        <f t="shared" si="17"/>
        <v>0.8303999999999999</v>
      </c>
      <c r="AO27" s="135">
        <f t="shared" si="18"/>
        <v>0</v>
      </c>
      <c r="AP27" s="135">
        <f t="shared" si="19"/>
        <v>0</v>
      </c>
    </row>
    <row r="28" spans="1:43" ht="12.75">
      <c r="A28" s="19">
        <f>'Data Entry'!H18</f>
        <v>24</v>
      </c>
      <c r="C28" s="64">
        <f>SUM(C17:C27)</f>
        <v>9730.434782608696</v>
      </c>
      <c r="D28" s="1" t="s">
        <v>186</v>
      </c>
      <c r="J28" s="18"/>
      <c r="K28" s="73">
        <f>SUM(K17:K27)</f>
        <v>8679.70225517348</v>
      </c>
      <c r="L28" s="66" t="s">
        <v>186</v>
      </c>
      <c r="R28" s="71"/>
      <c r="S28" s="104">
        <f>SUM(S17:S27)</f>
        <v>6567.147668541596</v>
      </c>
      <c r="T28" s="105" t="s">
        <v>186</v>
      </c>
      <c r="U28" s="15"/>
      <c r="V28" s="15"/>
      <c r="W28" s="15"/>
      <c r="X28" s="15"/>
      <c r="Y28" s="15"/>
      <c r="Z28" s="15"/>
      <c r="AA28" s="15"/>
      <c r="AB28" s="123"/>
      <c r="AC28" s="123"/>
      <c r="AD28" s="123"/>
      <c r="AP28" s="122">
        <f>SUM(AP17:AP27)</f>
        <v>3565.9502772711553</v>
      </c>
      <c r="AQ28" s="123" t="s">
        <v>186</v>
      </c>
    </row>
    <row r="29" spans="3:43" ht="12.75">
      <c r="C29" s="82">
        <f>'Data Entry'!$C$12*Calculations!C28</f>
        <v>3551608.695652174</v>
      </c>
      <c r="D29" s="1" t="s">
        <v>187</v>
      </c>
      <c r="J29" s="18"/>
      <c r="K29" s="84">
        <f>'Data Entry'!$C$12*Calculations!K28</f>
        <v>3168091.3231383204</v>
      </c>
      <c r="L29" s="66" t="s">
        <v>187</v>
      </c>
      <c r="R29" s="71"/>
      <c r="S29" s="106">
        <f>'Data Entry'!$C$12*Calculations!S28</f>
        <v>2397008.8990176828</v>
      </c>
      <c r="T29" s="105" t="s">
        <v>187</v>
      </c>
      <c r="U29" s="15"/>
      <c r="V29" s="15"/>
      <c r="W29" s="15"/>
      <c r="X29" s="15"/>
      <c r="Y29" s="15"/>
      <c r="Z29" s="15"/>
      <c r="AA29" s="15"/>
      <c r="AB29" s="123"/>
      <c r="AC29" s="123"/>
      <c r="AD29" s="123"/>
      <c r="AP29" s="179">
        <f>'Data Entry'!$C$12*Calculations!AP28</f>
        <v>1301571.8512039718</v>
      </c>
      <c r="AQ29" s="123" t="s">
        <v>187</v>
      </c>
    </row>
    <row r="30" spans="2:43" ht="12.75">
      <c r="B30" s="2" t="s">
        <v>188</v>
      </c>
      <c r="C30" s="65">
        <f>C29*'Data Entry'!$C$10/100</f>
        <v>121820.17826086956</v>
      </c>
      <c r="D30" s="1" t="s">
        <v>187</v>
      </c>
      <c r="J30" s="85" t="s">
        <v>188</v>
      </c>
      <c r="K30" s="86">
        <f>K29*'Data Entry'!$C$10/100</f>
        <v>108665.5323836444</v>
      </c>
      <c r="L30" s="66" t="s">
        <v>187</v>
      </c>
      <c r="R30" s="107" t="s">
        <v>188</v>
      </c>
      <c r="S30" s="108">
        <f>S29*'Data Entry'!$C$10/100</f>
        <v>82217.40523630653</v>
      </c>
      <c r="T30" s="105" t="s">
        <v>187</v>
      </c>
      <c r="U30" s="15"/>
      <c r="V30" s="15"/>
      <c r="W30" s="15"/>
      <c r="X30" s="15"/>
      <c r="Y30" s="15"/>
      <c r="Z30" s="124"/>
      <c r="AA30" s="124"/>
      <c r="AB30" s="123"/>
      <c r="AC30" s="123"/>
      <c r="AD30" s="123"/>
      <c r="AO30" s="124" t="s">
        <v>188</v>
      </c>
      <c r="AP30" s="178">
        <f>AP29*'Data Entry'!$C$10/100</f>
        <v>44643.91449629623</v>
      </c>
      <c r="AQ30" s="123" t="s">
        <v>187</v>
      </c>
    </row>
    <row r="31" ht="12.75">
      <c r="D31" s="1"/>
    </row>
    <row r="32" spans="1:5" ht="12.75">
      <c r="A32" s="3" t="s">
        <v>181</v>
      </c>
      <c r="B32" s="3"/>
      <c r="C32" s="3"/>
      <c r="E32" s="22" t="s">
        <v>183</v>
      </c>
    </row>
    <row r="33" spans="1:5" ht="12.75">
      <c r="A33" s="1" t="s">
        <v>179</v>
      </c>
      <c r="B33" s="1" t="s">
        <v>180</v>
      </c>
      <c r="C33" s="1" t="s">
        <v>182</v>
      </c>
      <c r="E33" s="22" t="s">
        <v>6</v>
      </c>
    </row>
    <row r="34" spans="1:5" ht="12.75">
      <c r="A34" s="61">
        <f>IF(('Data Entry'!$C$9/'Data Entry'!$C$5&lt;0.75),0,('Data Entry'!$C$8)+((1-('Data Entry'!$C$9/'Data Entry'!$C$5))/(1-0.75)*('Data Entry'!$D$8-'Data Entry'!$C$8)))</f>
        <v>0.92</v>
      </c>
      <c r="B34" s="61">
        <f>IF(('Data Entry'!$C$9/'Data Entry'!$C$5&lt;0.7499),('Data Entry'!$D$8)+((0.75-('Data Entry'!$C$9/'Data Entry'!$C$5))/(0.75-0.5)*('Data Entry'!$E$8-'Data Entry'!$D$8)),0)</f>
        <v>0</v>
      </c>
      <c r="C34" s="62">
        <f>IF('Data Entry'!$C$9/'Data Entry'!$C$5&gt;0.74999999999,A34,B34)</f>
        <v>0.92</v>
      </c>
      <c r="E34" s="22" t="s">
        <v>184</v>
      </c>
    </row>
    <row r="35" ht="12.75">
      <c r="E35" s="72">
        <f>('Data Entry'!C9*0.746)/Calculations!C34</f>
        <v>405.4347826086956</v>
      </c>
    </row>
    <row r="36" ht="12.75">
      <c r="A36" s="3" t="s">
        <v>192</v>
      </c>
    </row>
    <row r="37" spans="1:6" ht="12.75">
      <c r="A37" s="182">
        <v>1</v>
      </c>
      <c r="B37" s="182">
        <v>0.75</v>
      </c>
      <c r="C37" s="182">
        <v>0.5</v>
      </c>
      <c r="D37" s="182">
        <v>0.25</v>
      </c>
      <c r="E37" s="182">
        <v>0.05</v>
      </c>
      <c r="F37" s="182">
        <v>0.01</v>
      </c>
    </row>
    <row r="38" spans="1:6" ht="12.75">
      <c r="A38" s="183">
        <v>0.977</v>
      </c>
      <c r="B38" s="183">
        <v>0.971</v>
      </c>
      <c r="C38" s="183">
        <v>0.962</v>
      </c>
      <c r="D38" s="183">
        <v>0.94</v>
      </c>
      <c r="E38" s="183">
        <v>0.84</v>
      </c>
      <c r="F38" s="183">
        <v>0.6</v>
      </c>
    </row>
    <row r="40" spans="1:4" ht="12.75">
      <c r="A40" s="1" t="s">
        <v>179</v>
      </c>
      <c r="B40" s="1" t="s">
        <v>180</v>
      </c>
      <c r="C40" s="1" t="s">
        <v>193</v>
      </c>
      <c r="D40" s="1" t="s">
        <v>182</v>
      </c>
    </row>
    <row r="41" spans="1:4" ht="12.75">
      <c r="A41" s="61">
        <f>IF(($V$17&gt;0.75),($A$38)+((1-($V$17))/(1-0.75)*($B$38-$A$38)),0)</f>
        <v>0.977</v>
      </c>
      <c r="B41" s="61">
        <f>IF(('Data Entry'!$C$9/'Data Entry'!$C$5&lt;0.7499),('Data Entry'!$D$8)+((0.75-('Data Entry'!$C$9/'Data Entry'!$C$5))/(0.75-0.5)*('Data Entry'!$E$8-'Data Entry'!$D$8)),0)</f>
        <v>0</v>
      </c>
      <c r="D41" s="62">
        <f>IF('Data Entry'!$C$9/'Data Entry'!$C$5&gt;0.74999999999,A41,B41)</f>
        <v>0.977</v>
      </c>
    </row>
    <row r="44" spans="3:6" ht="12.75">
      <c r="C44" s="131"/>
      <c r="D44" s="131"/>
      <c r="E44" s="180"/>
      <c r="F44" s="131"/>
    </row>
    <row r="45" ht="12.75">
      <c r="C45" s="130"/>
    </row>
    <row r="46" ht="12.75">
      <c r="C46" s="130"/>
    </row>
    <row r="47" ht="12.75">
      <c r="C47" s="130"/>
    </row>
    <row r="48" ht="12.75">
      <c r="C48" s="130"/>
    </row>
    <row r="49" spans="2:3" ht="12.75">
      <c r="B49" s="181"/>
      <c r="C49" s="130"/>
    </row>
    <row r="50" ht="12.75">
      <c r="C50" s="130"/>
    </row>
  </sheetData>
  <sheetProtection password="DE79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Macdonald</dc:creator>
  <cp:keywords/>
  <dc:description/>
  <cp:lastModifiedBy>Jared McKenzie</cp:lastModifiedBy>
  <cp:lastPrinted>2001-07-09T19:22:25Z</cp:lastPrinted>
  <dcterms:created xsi:type="dcterms:W3CDTF">2001-05-16T18:31:51Z</dcterms:created>
  <dcterms:modified xsi:type="dcterms:W3CDTF">2008-10-15T15:11:27Z</dcterms:modified>
  <cp:category/>
  <cp:version/>
  <cp:contentType/>
  <cp:contentStatus/>
</cp:coreProperties>
</file>